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/comment6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_Model" sheetId="1" state="visible" r:id="rId1"/>
    <sheet xmlns:r="http://schemas.openxmlformats.org/officeDocument/2006/relationships" name="Income_Statement" sheetId="2" state="visible" r:id="rId2"/>
    <sheet xmlns:r="http://schemas.openxmlformats.org/officeDocument/2006/relationships" name="Cash_Flow" sheetId="3" state="visible" r:id="rId3"/>
    <sheet xmlns:r="http://schemas.openxmlformats.org/officeDocument/2006/relationships" name="Balance_Sheet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DCF_Inputs" sheetId="6" state="visible" r:id="rId6"/>
    <sheet xmlns:r="http://schemas.openxmlformats.org/officeDocument/2006/relationships" name="DCF" sheetId="7" state="visible" r:id="rId7"/>
    <sheet xmlns:r="http://schemas.openxmlformats.org/officeDocument/2006/relationships" name="DCF_Sensitivity" sheetId="8" state="visible" r:id="rId8"/>
    <sheet xmlns:r="http://schemas.openxmlformats.org/officeDocument/2006/relationships" name="Comps" sheetId="9" state="visible" r:id="rId9"/>
    <sheet xmlns:r="http://schemas.openxmlformats.org/officeDocument/2006/relationships" name="Valuation_Summary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%"/>
    <numFmt numFmtId="165" formatCode="+#,##0;-#,##0"/>
    <numFmt numFmtId="166" formatCode="#,##0;(#,##0)"/>
    <numFmt numFmtId="167" formatCode="0.00&quot;x&quot;"/>
    <numFmt numFmtId="168" formatCode="0.000"/>
    <numFmt numFmtId="169" formatCode="€0.00"/>
    <numFmt numFmtId="170" formatCode="+€0.00"/>
  </numFmts>
  <fonts count="13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color rgb="00000080"/>
    </font>
    <font>
      <i val="1"/>
      <color rgb="00666666"/>
    </font>
    <font>
      <i val="1"/>
      <color rgb="00999999"/>
    </font>
    <font>
      <i val="1"/>
      <color rgb="00C00000"/>
    </font>
    <font>
      <b val="1"/>
      <color rgb="00C00000"/>
    </font>
    <font>
      <b val="1"/>
      <i val="1"/>
    </font>
    <font/>
    <font>
      <i val="1"/>
    </font>
    <font>
      <b val="1"/>
      <color rgb="0000B050"/>
    </font>
    <font>
      <b val="1"/>
      <color rgb="00ED7D31"/>
      <sz val="14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FFF2CC"/>
      </patternFill>
    </fill>
    <fill>
      <patternFill patternType="solid">
        <fgColor rgb="00BDD7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0" fillId="3" borderId="0" pivotButton="0" quotePrefix="0" xfId="0"/>
    <xf numFmtId="3" fontId="3" fillId="4" borderId="0" pivotButton="0" quotePrefix="0" xfId="0"/>
    <xf numFmtId="3" fontId="0" fillId="0" borderId="0" pivotButton="0" quotePrefix="0" xfId="0"/>
    <xf numFmtId="0" fontId="2" fillId="0" borderId="0" pivotButton="0" quotePrefix="0" xfId="0"/>
    <xf numFmtId="3" fontId="2" fillId="3" borderId="0" pivotButton="0" quotePrefix="0" xfId="0"/>
    <xf numFmtId="0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3" fontId="6" fillId="0" borderId="0" pivotButton="0" quotePrefix="0" xfId="0"/>
    <xf numFmtId="0" fontId="5" fillId="3" borderId="0" pivotButton="0" quotePrefix="0" xfId="0"/>
    <xf numFmtId="164" fontId="3" fillId="4" borderId="0" pivotButton="0" quotePrefix="0" xfId="0"/>
    <xf numFmtId="0" fontId="4" fillId="3" borderId="0" pivotButton="0" quotePrefix="0" xfId="0"/>
    <xf numFmtId="166" fontId="2" fillId="0" borderId="0" pivotButton="0" quotePrefix="0" xfId="0"/>
    <xf numFmtId="166" fontId="0" fillId="0" borderId="0" pivotButton="0" quotePrefix="0" xfId="0"/>
    <xf numFmtId="166" fontId="2" fillId="3" borderId="0" pivotButton="0" quotePrefix="0" xfId="0"/>
    <xf numFmtId="166" fontId="4" fillId="0" borderId="0" pivotButton="0" quotePrefix="0" xfId="0"/>
    <xf numFmtId="166" fontId="3" fillId="4" borderId="0" pivotButton="0" quotePrefix="0" xfId="0"/>
    <xf numFmtId="2" fontId="2" fillId="0" borderId="0" pivotButton="0" quotePrefix="0" xfId="0"/>
    <xf numFmtId="2" fontId="3" fillId="4" borderId="0" pivotButton="0" quotePrefix="0" xfId="0"/>
    <xf numFmtId="164" fontId="4" fillId="0" borderId="0" pivotButton="0" quotePrefix="0" xfId="0"/>
    <xf numFmtId="0" fontId="6" fillId="3" borderId="0" pivotButton="0" quotePrefix="0" xfId="0"/>
    <xf numFmtId="3" fontId="0" fillId="3" borderId="0" pivotButton="0" quotePrefix="0" xfId="0"/>
    <xf numFmtId="0" fontId="3" fillId="4" borderId="0" pivotButton="0" quotePrefix="0" xfId="0"/>
    <xf numFmtId="167" fontId="0" fillId="0" borderId="0" pivotButton="0" quotePrefix="0" xfId="0"/>
    <xf numFmtId="0" fontId="2" fillId="4" borderId="0" pivotButton="0" quotePrefix="0" xfId="0"/>
    <xf numFmtId="10" fontId="3" fillId="4" borderId="0" pivotButton="0" quotePrefix="0" xfId="0"/>
    <xf numFmtId="10" fontId="0" fillId="0" borderId="0" pivotButton="0" quotePrefix="0" xfId="0"/>
    <xf numFmtId="10" fontId="2" fillId="0" borderId="0" pivotButton="0" quotePrefix="0" xfId="0"/>
    <xf numFmtId="168" fontId="0" fillId="0" borderId="0" pivotButton="0" quotePrefix="0" xfId="0"/>
    <xf numFmtId="169" fontId="7" fillId="3" borderId="0" pivotButton="0" quotePrefix="0" xfId="0"/>
    <xf numFmtId="0" fontId="8" fillId="0" borderId="0" pivotButton="0" quotePrefix="0" xfId="0"/>
    <xf numFmtId="10" fontId="2" fillId="3" borderId="0" pivotButton="0" quotePrefix="0" xfId="0"/>
    <xf numFmtId="169" fontId="0" fillId="0" borderId="0" pivotButton="0" quotePrefix="0" xfId="0"/>
    <xf numFmtId="169" fontId="2" fillId="5" borderId="0" pivotButton="0" quotePrefix="0" xfId="0"/>
    <xf numFmtId="3" fontId="2" fillId="0" borderId="0" pivotButton="0" quotePrefix="0" xfId="0"/>
    <xf numFmtId="1" fontId="2" fillId="0" borderId="0" pivotButton="0" quotePrefix="0" xfId="0"/>
    <xf numFmtId="167" fontId="2" fillId="0" borderId="0" pivotButton="0" quotePrefix="0" xfId="0"/>
    <xf numFmtId="164" fontId="2" fillId="0" borderId="0" pivotButton="0" quotePrefix="0" xfId="0"/>
    <xf numFmtId="0" fontId="9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0" fontId="10" fillId="0" borderId="0" pivotButton="0" quotePrefix="0" xfId="0"/>
    <xf numFmtId="2" fontId="0" fillId="0" borderId="0" pivotButton="0" quotePrefix="0" xfId="0"/>
    <xf numFmtId="169" fontId="3" fillId="4" borderId="0" pivotButton="0" quotePrefix="0" xfId="0"/>
    <xf numFmtId="164" fontId="11" fillId="0" borderId="0" pivotButton="0" quotePrefix="0" xfId="0"/>
    <xf numFmtId="0" fontId="12" fillId="0" borderId="0" pivotButton="0" quotePrefix="0" xfId="0"/>
    <xf numFmtId="17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omments/comment1.xml><?xml version="1.0" encoding="utf-8"?>
<comments xmlns="http://schemas.openxmlformats.org/spreadsheetml/2006/main">
  <authors>
    <author>v2 model</author>
  </authors>
  <commentList>
    <comment ref="B6" authorId="0" shapeId="0">
      <text>
        <t>Real FY20A revenue (EODHD pull / company segment disclosure)</t>
      </text>
    </comment>
    <comment ref="C6" authorId="0" shapeId="0">
      <text>
        <t>Real FY21A revenue (EODHD pull / company segment disclosure)</t>
      </text>
    </comment>
    <comment ref="D6" authorId="0" shapeId="0">
      <text>
        <t>Real FY22A revenue (EODHD pull / company segment disclosure)</t>
      </text>
    </comment>
    <comment ref="E6" authorId="0" shapeId="0">
      <text>
        <t>Real FY23A revenue (EODHD pull / company segment disclosure)</t>
      </text>
    </comment>
    <comment ref="F6" authorId="0" shapeId="0">
      <text>
        <t>Real FY24A revenue (EODHD pull / company segment disclosure)</t>
      </text>
    </comment>
    <comment ref="G6" authorId="0" shapeId="0">
      <text>
        <t>FY25A from company FY2025 press release; segment estimates</t>
      </text>
    </comment>
    <comment ref="B7" authorId="0" shapeId="0">
      <text>
        <t>Real FY20A revenue (EODHD pull / company segment disclosure)</t>
      </text>
    </comment>
    <comment ref="C7" authorId="0" shapeId="0">
      <text>
        <t>Real FY21A revenue (EODHD pull / company segment disclosure)</t>
      </text>
    </comment>
    <comment ref="D7" authorId="0" shapeId="0">
      <text>
        <t>Real FY22A revenue (EODHD pull / company segment disclosure)</t>
      </text>
    </comment>
    <comment ref="E7" authorId="0" shapeId="0">
      <text>
        <t>Real FY23A revenue (EODHD pull / company segment disclosure)</t>
      </text>
    </comment>
    <comment ref="F7" authorId="0" shapeId="0">
      <text>
        <t>Real FY24A revenue (EODHD pull / company segment disclosure)</t>
      </text>
    </comment>
    <comment ref="G7" authorId="0" shapeId="0">
      <text>
        <t>FY25A from company FY2025 press release; segment estimates</t>
      </text>
    </comment>
    <comment ref="B8" authorId="0" shapeId="0">
      <text>
        <t>Real FY20A revenue (EODHD pull / company segment disclosure)</t>
      </text>
    </comment>
    <comment ref="C8" authorId="0" shapeId="0">
      <text>
        <t>Real FY21A revenue (EODHD pull / company segment disclosure)</t>
      </text>
    </comment>
    <comment ref="D8" authorId="0" shapeId="0">
      <text>
        <t>Real FY22A revenue (EODHD pull / company segment disclosure)</t>
      </text>
    </comment>
    <comment ref="E8" authorId="0" shapeId="0">
      <text>
        <t>Real FY23A revenue (EODHD pull / company segment disclosure)</t>
      </text>
    </comment>
    <comment ref="F8" authorId="0" shapeId="0">
      <text>
        <t>Real FY24A revenue (EODHD pull / company segment disclosure)</t>
      </text>
    </comment>
    <comment ref="G8" authorId="0" shapeId="0">
      <text>
        <t>FY25A from company FY2025 press release; segment estimates</t>
      </text>
    </comment>
    <comment ref="B9" authorId="0" shapeId="0">
      <text>
        <t>Real FY20A revenue (EODHD pull / company segment disclosure)</t>
      </text>
    </comment>
    <comment ref="C9" authorId="0" shapeId="0">
      <text>
        <t>Real FY21A revenue (EODHD pull / company segment disclosure)</t>
      </text>
    </comment>
    <comment ref="D9" authorId="0" shapeId="0">
      <text>
        <t>Real FY22A revenue (EODHD pull / company segment disclosure)</t>
      </text>
    </comment>
    <comment ref="E9" authorId="0" shapeId="0">
      <text>
        <t>Real FY23A revenue (EODHD pull / company segment disclosure)</t>
      </text>
    </comment>
    <comment ref="F9" authorId="0" shapeId="0">
      <text>
        <t>Real FY24A revenue (EODHD pull / company segment disclosure)</t>
      </text>
    </comment>
    <comment ref="G9" authorId="0" shapeId="0">
      <text>
        <t>FY25A from company FY2025 press release; segment estimates</t>
      </text>
    </comment>
    <comment ref="B10" authorId="0" shapeId="0">
      <text>
        <t>Real FY20A revenue (EODHD pull / company segment disclosure)</t>
      </text>
    </comment>
    <comment ref="C10" authorId="0" shapeId="0">
      <text>
        <t>Real FY21A revenue (EODHD pull / company segment disclosure)</t>
      </text>
    </comment>
    <comment ref="D10" authorId="0" shapeId="0">
      <text>
        <t>Real FY22A revenue (EODHD pull / company segment disclosure)</t>
      </text>
    </comment>
    <comment ref="E10" authorId="0" shapeId="0">
      <text>
        <t>Real FY23A revenue (EODHD pull / company segment disclosure)</t>
      </text>
    </comment>
    <comment ref="F10" authorId="0" shapeId="0">
      <text>
        <t>Real FY24A revenue (EODHD pull / company segment disclosure)</t>
      </text>
    </comment>
    <comment ref="G10" authorId="0" shapeId="0">
      <text>
        <t>FY25A from company FY2025 press release; segment estimates</t>
      </text>
    </comment>
    <comment ref="B11" authorId="0" shapeId="0">
      <text>
        <t>Real FY20A revenue (EODHD pull / company segment disclosure)</t>
      </text>
    </comment>
    <comment ref="C11" authorId="0" shapeId="0">
      <text>
        <t>Real FY21A revenue (EODHD pull / company segment disclosure)</t>
      </text>
    </comment>
    <comment ref="D11" authorId="0" shapeId="0">
      <text>
        <t>Real FY22A revenue (EODHD pull / company segment disclosure)</t>
      </text>
    </comment>
    <comment ref="E11" authorId="0" shapeId="0">
      <text>
        <t>Real FY23A revenue (EODHD pull / company segment disclosure)</t>
      </text>
    </comment>
    <comment ref="F11" authorId="0" shapeId="0">
      <text>
        <t>Real FY24A revenue (EODHD pull / company segment disclosure)</t>
      </text>
    </comment>
    <comment ref="G11" authorId="0" shapeId="0">
      <text>
        <t>FY25A from company FY2025 press release; segment estimates</t>
      </text>
    </comment>
    <comment ref="H26" authorId="0" shapeId="0">
      <text>
        <t>Forward growth — Transform &amp; Grow guided range, illustrative split</t>
      </text>
    </comment>
    <comment ref="I26" authorId="0" shapeId="0">
      <text>
        <t>Forward growth — Transform &amp; Grow guided range, illustrative split</t>
      </text>
    </comment>
    <comment ref="J26" authorId="0" shapeId="0">
      <text>
        <t>Forward growth — Transform &amp; Grow guided range, illustrative split</t>
      </text>
    </comment>
    <comment ref="K26" authorId="0" shapeId="0">
      <text>
        <t>Forward growth — Transform &amp; Grow guided range, illustrative split</t>
      </text>
    </comment>
    <comment ref="L26" authorId="0" shapeId="0">
      <text>
        <t>Forward growth — Transform &amp; Grow guided range, illustrative split</t>
      </text>
    </comment>
    <comment ref="H27" authorId="0" shapeId="0">
      <text>
        <t>Forward growth — Transform &amp; Grow guided range, illustrative split</t>
      </text>
    </comment>
    <comment ref="I27" authorId="0" shapeId="0">
      <text>
        <t>Forward growth — Transform &amp; Grow guided range, illustrative split</t>
      </text>
    </comment>
    <comment ref="J27" authorId="0" shapeId="0">
      <text>
        <t>Forward growth — Transform &amp; Grow guided range, illustrative split</t>
      </text>
    </comment>
    <comment ref="K27" authorId="0" shapeId="0">
      <text>
        <t>Forward growth — Transform &amp; Grow guided range, illustrative split</t>
      </text>
    </comment>
    <comment ref="L27" authorId="0" shapeId="0">
      <text>
        <t>Forward growth — Transform &amp; Grow guided range, illustrative split</t>
      </text>
    </comment>
    <comment ref="H28" authorId="0" shapeId="0">
      <text>
        <t>Forward growth — Transform &amp; Grow guided range, illustrative split</t>
      </text>
    </comment>
    <comment ref="I28" authorId="0" shapeId="0">
      <text>
        <t>Forward growth — Transform &amp; Grow guided range, illustrative split</t>
      </text>
    </comment>
    <comment ref="J28" authorId="0" shapeId="0">
      <text>
        <t>Forward growth — Transform &amp; Grow guided range, illustrative split</t>
      </text>
    </comment>
    <comment ref="K28" authorId="0" shapeId="0">
      <text>
        <t>Forward growth — Transform &amp; Grow guided range, illustrative split</t>
      </text>
    </comment>
    <comment ref="L28" authorId="0" shapeId="0">
      <text>
        <t>Forward growth — Transform &amp; Grow guided range, illustrative split</t>
      </text>
    </comment>
    <comment ref="H29" authorId="0" shapeId="0">
      <text>
        <t>Forward growth — Transform &amp; Grow guided range, illustrative split</t>
      </text>
    </comment>
    <comment ref="I29" authorId="0" shapeId="0">
      <text>
        <t>Forward growth — Transform &amp; Grow guided range, illustrative split</t>
      </text>
    </comment>
    <comment ref="J29" authorId="0" shapeId="0">
      <text>
        <t>Forward growth — Transform &amp; Grow guided range, illustrative split</t>
      </text>
    </comment>
    <comment ref="K29" authorId="0" shapeId="0">
      <text>
        <t>Forward growth — Transform &amp; Grow guided range, illustrative split</t>
      </text>
    </comment>
    <comment ref="L29" authorId="0" shapeId="0">
      <text>
        <t>Forward growth — Transform &amp; Grow guided range, illustrative split</t>
      </text>
    </comment>
    <comment ref="H30" authorId="0" shapeId="0">
      <text>
        <t>Forward growth — Transform &amp; Grow guided range, illustrative split</t>
      </text>
    </comment>
    <comment ref="I30" authorId="0" shapeId="0">
      <text>
        <t>Forward growth — Transform &amp; Grow guided range, illustrative split</t>
      </text>
    </comment>
    <comment ref="J30" authorId="0" shapeId="0">
      <text>
        <t>Forward growth — Transform &amp; Grow guided range, illustrative split</t>
      </text>
    </comment>
    <comment ref="K30" authorId="0" shapeId="0">
      <text>
        <t>Forward growth — Transform &amp; Grow guided range, illustrative split</t>
      </text>
    </comment>
    <comment ref="L30" authorId="0" shapeId="0">
      <text>
        <t>Forward growth — Transform &amp; Grow guided range, illustrative split</t>
      </text>
    </comment>
    <comment ref="H31" authorId="0" shapeId="0">
      <text>
        <t>Forward growth — Transform &amp; Grow guided range, illustrative split</t>
      </text>
    </comment>
    <comment ref="I31" authorId="0" shapeId="0">
      <text>
        <t>Forward growth — Transform &amp; Grow guided range, illustrative split</t>
      </text>
    </comment>
    <comment ref="J31" authorId="0" shapeId="0">
      <text>
        <t>Forward growth — Transform &amp; Grow guided range, illustrative split</t>
      </text>
    </comment>
    <comment ref="K31" authorId="0" shapeId="0">
      <text>
        <t>Forward growth — Transform &amp; Grow guided range, illustrative split</t>
      </text>
    </comment>
    <comment ref="L31" authorId="0" shapeId="0">
      <text>
        <t>Forward growth — Transform &amp; Grow guided range, illustrative split</t>
      </text>
    </comment>
  </commentList>
</comments>
</file>

<file path=xl/comments/comment2.xml><?xml version="1.0" encoding="utf-8"?>
<comments xmlns="http://schemas.openxmlformats.org/spreadsheetml/2006/main">
  <authors>
    <author>v2 model</author>
  </authors>
  <commentList>
    <comment ref="B7" authorId="0" shapeId="0">
      <text>
        <t>Reported (FY24 EBITDA from press release; FY25A from company FY25 PR €11,918M)</t>
      </text>
    </comment>
    <comment ref="C7" authorId="0" shapeId="0">
      <text>
        <t>Reported (FY24 EBITDA from press release; FY25A from company FY25 PR €11,918M)</t>
      </text>
    </comment>
    <comment ref="D7" authorId="0" shapeId="0">
      <text>
        <t>Reported (FY24 EBITDA from press release; FY25A from company FY25 PR €11,918M)</t>
      </text>
    </comment>
    <comment ref="E7" authorId="0" shapeId="0">
      <text>
        <t>Reported (FY24 EBITDA from press release; FY25A from company FY25 PR €11,918M)</t>
      </text>
    </comment>
    <comment ref="F7" authorId="0" shapeId="0">
      <text>
        <t>Reported (FY24 EBITDA from press release; FY25A from company FY25 PR €11,918M)</t>
      </text>
    </comment>
    <comment ref="G7" authorId="0" shapeId="0">
      <text>
        <t>Reported (FY24 EBITDA from press release; FY25A from company FY25 PR €11,918M)</t>
      </text>
    </comment>
    <comment ref="H8" authorId="0" shapeId="0">
      <text>
        <t>EBITDA margin assumption — Transform &amp; Grow cost takeout phasing</t>
      </text>
    </comment>
    <comment ref="I8" authorId="0" shapeId="0">
      <text>
        <t>EBITDA margin assumption — Transform &amp; Grow cost takeout phasing</t>
      </text>
    </comment>
    <comment ref="J8" authorId="0" shapeId="0">
      <text>
        <t>EBITDA margin assumption — Transform &amp; Grow cost takeout phasing</t>
      </text>
    </comment>
    <comment ref="K8" authorId="0" shapeId="0">
      <text>
        <t>EBITDA margin assumption — Transform &amp; Grow cost takeout phasing</t>
      </text>
    </comment>
    <comment ref="L8" authorId="0" shapeId="0">
      <text>
        <t>EBITDA margin assumption — Transform &amp; Grow cost takeout phasing</t>
      </text>
    </comment>
    <comment ref="H12" authorId="0" shapeId="0">
      <text>
        <t>Declining as net debt reduces toward 2028 target</t>
      </text>
    </comment>
    <comment ref="I12" authorId="0" shapeId="0">
      <text>
        <t>Declining as net debt reduces toward 2028 target</t>
      </text>
    </comment>
    <comment ref="J12" authorId="0" shapeId="0">
      <text>
        <t>Declining as net debt reduces toward 2028 target</t>
      </text>
    </comment>
    <comment ref="K12" authorId="0" shapeId="0">
      <text>
        <t>Declining as net debt reduces toward 2028 target</t>
      </text>
    </comment>
    <comment ref="L12" authorId="0" shapeId="0">
      <text>
        <t>Declining as net debt reduces toward 2028 target</t>
      </text>
    </comment>
    <comment ref="B19" authorId="0" shapeId="0">
      <text>
        <t>FY25A from latest disclosure (5,638M); buybacks declining count slightly</t>
      </text>
    </comment>
    <comment ref="C19" authorId="0" shapeId="0">
      <text>
        <t>FY25A from latest disclosure (5,638M); buybacks declining count slightly</t>
      </text>
    </comment>
    <comment ref="D19" authorId="0" shapeId="0">
      <text>
        <t>FY25A from latest disclosure (5,638M); buybacks declining count slightly</t>
      </text>
    </comment>
    <comment ref="E19" authorId="0" shapeId="0">
      <text>
        <t>FY25A from latest disclosure (5,638M); buybacks declining count slightly</t>
      </text>
    </comment>
    <comment ref="F19" authorId="0" shapeId="0">
      <text>
        <t>FY25A from latest disclosure (5,638M); buybacks declining count slightly</t>
      </text>
    </comment>
    <comment ref="G19" authorId="0" shapeId="0">
      <text>
        <t>FY25A from latest disclosure (5,638M); buybacks declining count slightly</t>
      </text>
    </comment>
    <comment ref="H19" authorId="0" shapeId="0">
      <text>
        <t>FY25A from latest disclosure (5,638M); buybacks declining count slightly</t>
      </text>
    </comment>
    <comment ref="I19" authorId="0" shapeId="0">
      <text>
        <t>FY25A from latest disclosure (5,638M); buybacks declining count slightly</t>
      </text>
    </comment>
    <comment ref="J19" authorId="0" shapeId="0">
      <text>
        <t>FY25A from latest disclosure (5,638M); buybacks declining count slightly</t>
      </text>
    </comment>
    <comment ref="K19" authorId="0" shapeId="0">
      <text>
        <t>FY25A from latest disclosure (5,638M); buybacks declining count slightly</t>
      </text>
    </comment>
    <comment ref="L19" authorId="0" shapeId="0">
      <text>
        <t>FY25A from latest disclosure (5,638M); buybacks declining count slightly</t>
      </text>
    </comment>
    <comment ref="H22" authorId="0" shapeId="0">
      <text>
        <t>Cut to €0.15 announced 4 Nov 2025; recovery under 40-60% FCF policy from 2027</t>
      </text>
    </comment>
  </commentList>
</comments>
</file>

<file path=xl/comments/comment3.xml><?xml version="1.0" encoding="utf-8"?>
<comments xmlns="http://schemas.openxmlformats.org/spreadsheetml/2006/main">
  <authors>
    <author>v2 model</author>
  </authors>
  <commentList>
    <comment ref="B5" authorId="0" shapeId="0">
      <text>
        <t>Pre-restated approximation — earlier years used different definition</t>
      </text>
    </comment>
    <comment ref="C5" authorId="0" shapeId="0">
      <text>
        <t>Pre-restated approximation — earlier years used different definition</t>
      </text>
    </comment>
    <comment ref="D5" authorId="0" shapeId="0">
      <text>
        <t>Pre-restated approximation — earlier years used different definition</t>
      </text>
    </comment>
    <comment ref="E5" authorId="0" shapeId="0">
      <text>
        <t>Company-reported FCF</t>
      </text>
    </comment>
    <comment ref="F5" authorId="0" shapeId="0">
      <text>
        <t>Company-reported FCF</t>
      </text>
    </comment>
    <comment ref="G5" authorId="0" shapeId="0">
      <text>
        <t>FY25A €2,069M from company; FY26E €3,000M = Transform &amp; Grow guidance</t>
      </text>
    </comment>
    <comment ref="H5" authorId="0" shapeId="0">
      <text>
        <t>FY25A €2,069M from company; FY26E €3,000M = Transform &amp; Grow guidance</t>
      </text>
    </comment>
    <comment ref="I5" authorId="0" shapeId="0">
      <text>
        <t>Company-reported FCF</t>
      </text>
    </comment>
    <comment ref="J5" authorId="0" shapeId="0">
      <text>
        <t>Company-reported FCF</t>
      </text>
    </comment>
    <comment ref="K5" authorId="0" shapeId="0">
      <text>
        <t>Company-reported FCF</t>
      </text>
    </comment>
    <comment ref="L5" authorId="0" shapeId="0">
      <text>
        <t>Company-reported FCF</t>
      </text>
    </comment>
    <comment ref="H10" authorId="0" shapeId="0">
      <text>
        <t>FY26 dividend cut to €0.15 × 5,638M = €845M (vs ~€1.7bn prior years)</t>
      </text>
    </comment>
  </commentList>
</comments>
</file>

<file path=xl/comments/comment4.xml><?xml version="1.0" encoding="utf-8"?>
<comments xmlns="http://schemas.openxmlformats.org/spreadsheetml/2006/main">
  <authors>
    <author>v2 model</author>
  </authors>
  <commentList>
    <comment ref="B6" authorId="0" shapeId="0">
      <text>
        <t>Historical</t>
      </text>
    </comment>
    <comment ref="C6" authorId="0" shapeId="0">
      <text>
        <t>Historical</t>
      </text>
    </comment>
    <comment ref="D6" authorId="0" shapeId="0">
      <text>
        <t>Historical</t>
      </text>
    </comment>
    <comment ref="E6" authorId="0" shapeId="0">
      <text>
        <t>Historical</t>
      </text>
    </comment>
    <comment ref="F6" authorId="0" shapeId="0">
      <text>
        <t>FY24A from company press release (NOT EODHD); FY25A €26,824M from company</t>
      </text>
    </comment>
    <comment ref="G6" authorId="0" shapeId="0">
      <text>
        <t>FY24A from company press release (NOT EODHD); FY25A €26,824M from company</t>
      </text>
    </comment>
    <comment ref="B7" authorId="0" shapeId="0">
      <text>
        <t>Stable hybrid balance — coupon step-up risk noted in research doc</t>
      </text>
    </comment>
    <comment ref="C7" authorId="0" shapeId="0">
      <text>
        <t>Stable hybrid balance — coupon step-up risk noted in research doc</t>
      </text>
    </comment>
    <comment ref="D7" authorId="0" shapeId="0">
      <text>
        <t>Stable hybrid balance — coupon step-up risk noted in research doc</t>
      </text>
    </comment>
    <comment ref="E7" authorId="0" shapeId="0">
      <text>
        <t>Stable hybrid balance — coupon step-up risk noted in research doc</t>
      </text>
    </comment>
    <comment ref="F7" authorId="0" shapeId="0">
      <text>
        <t>Stable hybrid balance — coupon step-up risk noted in research doc</t>
      </text>
    </comment>
    <comment ref="G7" authorId="0" shapeId="0">
      <text>
        <t>Stable hybrid balance — coupon step-up risk noted in research doc</t>
      </text>
    </comment>
    <comment ref="H7" authorId="0" shapeId="0">
      <text>
        <t>Stable hybrid balance — coupon step-up risk noted in research doc</t>
      </text>
    </comment>
    <comment ref="I7" authorId="0" shapeId="0">
      <text>
        <t>Stable hybrid balance — coupon step-up risk noted in research doc</t>
      </text>
    </comment>
    <comment ref="J7" authorId="0" shapeId="0">
      <text>
        <t>Stable hybrid balance — coupon step-up risk noted in research doc</t>
      </text>
    </comment>
    <comment ref="K7" authorId="0" shapeId="0">
      <text>
        <t>Stable hybrid balance — coupon step-up risk noted in research doc</t>
      </text>
    </comment>
    <comment ref="L7" authorId="0" shapeId="0">
      <text>
        <t>Stable hybrid balance — coupon step-up risk noted in research doc</t>
      </text>
    </comment>
    <comment ref="B15" authorId="0" shapeId="0">
      <text>
        <t>Lower from FY25 onwards reflecting Hispam disposals</t>
      </text>
    </comment>
    <comment ref="C15" authorId="0" shapeId="0">
      <text>
        <t>Lower from FY25 onwards reflecting Hispam disposals</t>
      </text>
    </comment>
    <comment ref="D15" authorId="0" shapeId="0">
      <text>
        <t>Lower from FY25 onwards reflecting Hispam disposals</t>
      </text>
    </comment>
    <comment ref="E15" authorId="0" shapeId="0">
      <text>
        <t>Lower from FY25 onwards reflecting Hispam disposals</t>
      </text>
    </comment>
    <comment ref="F15" authorId="0" shapeId="0">
      <text>
        <t>Lower from FY25 onwards reflecting Hispam disposals</t>
      </text>
    </comment>
    <comment ref="G15" authorId="0" shapeId="0">
      <text>
        <t>Lower from FY25 onwards reflecting Hispam disposals</t>
      </text>
    </comment>
    <comment ref="H15" authorId="0" shapeId="0">
      <text>
        <t>Lower from FY25 onwards reflecting Hispam disposals</t>
      </text>
    </comment>
    <comment ref="I15" authorId="0" shapeId="0">
      <text>
        <t>Lower from FY25 onwards reflecting Hispam disposals</t>
      </text>
    </comment>
    <comment ref="J15" authorId="0" shapeId="0">
      <text>
        <t>Lower from FY25 onwards reflecting Hispam disposals</t>
      </text>
    </comment>
    <comment ref="K15" authorId="0" shapeId="0">
      <text>
        <t>Lower from FY25 onwards reflecting Hispam disposals</t>
      </text>
    </comment>
    <comment ref="L15" authorId="0" shapeId="0">
      <text>
        <t>Lower from FY25 onwards reflecting Hispam disposals</t>
      </text>
    </comment>
  </commentList>
</comments>
</file>

<file path=xl/comments/comment5.xml><?xml version="1.0" encoding="utf-8"?>
<comments xmlns="http://schemas.openxmlformats.org/spreadsheetml/2006/main">
  <authors>
    <author>v2 model</author>
  </authors>
  <commentList>
    <comment ref="B4" authorId="0" shapeId="0">
      <text>
        <t>CNBC quote 2026-05-06</t>
      </text>
    </comment>
    <comment ref="B5" authorId="0" shapeId="0">
      <text>
        <t>Yahoo Finance / TEF investor page</t>
      </text>
    </comment>
    <comment ref="B7" authorId="0" shapeId="0">
      <text>
        <t>TEF FY25 PR</t>
      </text>
    </comment>
    <comment ref="B8" authorId="0" shapeId="0">
      <text>
        <t>Illustrative — needs primary verify</t>
      </text>
    </comment>
    <comment ref="B9" authorId="0" shapeId="0">
      <text>
        <t>Reduced from v1 — Vivo public float ~27%</t>
      </text>
    </comment>
    <comment ref="B10" authorId="0" shapeId="0">
      <text>
        <t>Placeholder — needs 20-F verify</t>
      </text>
    </comment>
    <comment ref="B11" authorId="0" shapeId="0">
      <text>
        <t>Illustrative</t>
      </text>
    </comment>
    <comment ref="B12" authorId="0" shapeId="0">
      <text>
        <t>Illustrative</t>
      </text>
    </comment>
    <comment ref="B13" authorId="0" shapeId="0">
      <text>
        <t>Standard</t>
      </text>
    </comment>
    <comment ref="B14" authorId="0" shapeId="0">
      <text>
        <t>Illustrative</t>
      </text>
    </comment>
    <comment ref="B15" authorId="0" shapeId="0">
      <text>
        <t>5y avg effective</t>
      </text>
    </comment>
    <comment ref="B16" authorId="0" shapeId="0">
      <text>
        <t>Implied</t>
      </text>
    </comment>
    <comment ref="B22" authorId="0" shapeId="0">
      <text>
        <t>Pragmatic — peer-realised cost of capital for leveraged Euro telecoms</t>
      </text>
    </comment>
    <comment ref="B23" authorId="0" shapeId="0">
      <text>
        <t>Long-term inflation-aligned</t>
      </text>
    </comment>
    <comment ref="B26" authorId="0" shapeId="0">
      <text>
        <t>€3.0bn 2026 FCF guidance — TEF Q4 25 PR</t>
      </text>
    </comment>
    <comment ref="B27" authorId="0" shapeId="0">
      <text>
        <t>Acceleration as cost takeout phases in</t>
      </text>
    </comment>
    <comment ref="B28" authorId="0" shapeId="0">
      <text>
        <t>+2.5-3.5% revenue × leverage</t>
      </text>
    </comment>
  </commentList>
</comments>
</file>

<file path=xl/comments/comment6.xml><?xml version="1.0" encoding="utf-8"?>
<comments xmlns="http://schemas.openxmlformats.org/spreadsheetml/2006/main">
  <authors>
    <author>v2 model</author>
  </authors>
  <commentList>
    <comment ref="B13" authorId="0" shapeId="0">
      <text>
        <t>CNBC quote 2026-05-06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10.xml.rels><Relationships xmlns="http://schemas.openxmlformats.org/package/2006/relationships"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3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TEF v2 — Revenue model (€ millions) | Anchored on FY25A actuals + Transform &amp; Grow guidance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FY25A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  <c r="L3" s="2" t="inlineStr">
        <is>
          <t>FY30E</t>
        </is>
      </c>
    </row>
    <row r="5">
      <c r="A5" s="2" t="inlineStr">
        <is>
          <t>Geography revenue (€m)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</row>
    <row r="6">
      <c r="A6" t="inlineStr">
        <is>
          <t>Spain</t>
        </is>
      </c>
      <c r="B6" s="4" t="n">
        <v>12500</v>
      </c>
      <c r="C6" s="4" t="n">
        <v>12100</v>
      </c>
      <c r="D6" s="4" t="n">
        <v>12210</v>
      </c>
      <c r="E6" s="4" t="n">
        <v>12419</v>
      </c>
      <c r="F6" s="4" t="n">
        <v>12600</v>
      </c>
      <c r="G6" s="4" t="n">
        <v>12750</v>
      </c>
      <c r="H6" s="5">
        <f>G6*(1+H26)</f>
        <v/>
      </c>
      <c r="I6" s="5">
        <f>H6*(1+I26)</f>
        <v/>
      </c>
      <c r="J6" s="5">
        <f>I6*(1+J26)</f>
        <v/>
      </c>
      <c r="K6" s="5">
        <f>J6*(1+K26)</f>
        <v/>
      </c>
      <c r="L6" s="5">
        <f>K6*(1+L26)</f>
        <v/>
      </c>
    </row>
    <row r="7">
      <c r="A7" t="inlineStr">
        <is>
          <t>Brazil (Vivo)</t>
        </is>
      </c>
      <c r="B7" s="4" t="n">
        <v>9650</v>
      </c>
      <c r="C7" s="4" t="n">
        <v>9450</v>
      </c>
      <c r="D7" s="4" t="n">
        <v>9840</v>
      </c>
      <c r="E7" s="4" t="n">
        <v>10150</v>
      </c>
      <c r="F7" s="4" t="n">
        <v>10400</v>
      </c>
      <c r="G7" s="4" t="n">
        <v>11000</v>
      </c>
      <c r="H7" s="5">
        <f>G7*(1+H26)</f>
        <v/>
      </c>
      <c r="I7" s="5">
        <f>H7*(1+I26)</f>
        <v/>
      </c>
      <c r="J7" s="5">
        <f>I7*(1+J26)</f>
        <v/>
      </c>
      <c r="K7" s="5">
        <f>J7*(1+K26)</f>
        <v/>
      </c>
      <c r="L7" s="5">
        <f>K7*(1+L26)</f>
        <v/>
      </c>
    </row>
    <row r="8">
      <c r="A8" t="inlineStr">
        <is>
          <t>Germany (O2D)</t>
        </is>
      </c>
      <c r="B8" s="4" t="n">
        <v>8650</v>
      </c>
      <c r="C8" s="4" t="n">
        <v>8230</v>
      </c>
      <c r="D8" s="4" t="n">
        <v>8330</v>
      </c>
      <c r="E8" s="4" t="n">
        <v>8500</v>
      </c>
      <c r="F8" s="4" t="n">
        <v>8650</v>
      </c>
      <c r="G8" s="4" t="n">
        <v>8400</v>
      </c>
      <c r="H8" s="5">
        <f>G8*(1+H26)</f>
        <v/>
      </c>
      <c r="I8" s="5">
        <f>H8*(1+I26)</f>
        <v/>
      </c>
      <c r="J8" s="5">
        <f>I8*(1+J26)</f>
        <v/>
      </c>
      <c r="K8" s="5">
        <f>J8*(1+K26)</f>
        <v/>
      </c>
      <c r="L8" s="5">
        <f>K8*(1+L26)</f>
        <v/>
      </c>
    </row>
    <row r="9">
      <c r="A9" t="inlineStr">
        <is>
          <t>UK (VMO2 50%)</t>
        </is>
      </c>
      <c r="B9" s="4" t="n">
        <v>4900</v>
      </c>
      <c r="C9" s="4" t="n">
        <v>5100</v>
      </c>
      <c r="D9" s="4" t="n">
        <v>5200</v>
      </c>
      <c r="E9" s="4" t="n">
        <v>5300</v>
      </c>
      <c r="F9" s="4" t="n">
        <v>5400</v>
      </c>
      <c r="G9" s="4" t="n">
        <v>5400</v>
      </c>
      <c r="H9" s="5">
        <f>G9*(1+H26)</f>
        <v/>
      </c>
      <c r="I9" s="5">
        <f>H9*(1+I26)</f>
        <v/>
      </c>
      <c r="J9" s="5">
        <f>I9*(1+J26)</f>
        <v/>
      </c>
      <c r="K9" s="5">
        <f>J9*(1+K26)</f>
        <v/>
      </c>
      <c r="L9" s="5">
        <f>K9*(1+L26)</f>
        <v/>
      </c>
    </row>
    <row r="10">
      <c r="A10" t="inlineStr">
        <is>
          <t>Hispam</t>
        </is>
      </c>
      <c r="B10" s="4" t="n">
        <v>6800</v>
      </c>
      <c r="C10" s="4" t="n">
        <v>4900</v>
      </c>
      <c r="D10" s="4" t="n">
        <v>4150</v>
      </c>
      <c r="E10" s="4" t="n">
        <v>3950</v>
      </c>
      <c r="F10" s="4" t="n">
        <v>3800</v>
      </c>
      <c r="G10" s="4" t="n">
        <v>4200</v>
      </c>
      <c r="H10" s="5">
        <f>G10*(1+H26)</f>
        <v/>
      </c>
      <c r="I10" s="5">
        <f>H10*(1+I26)</f>
        <v/>
      </c>
      <c r="J10" s="5">
        <f>I10*(1+J26)</f>
        <v/>
      </c>
      <c r="K10" s="5">
        <f>J10*(1+K26)</f>
        <v/>
      </c>
      <c r="L10" s="5">
        <f>K10*(1+L26)</f>
        <v/>
      </c>
    </row>
    <row r="11">
      <c r="A11" t="inlineStr">
        <is>
          <t>Tech / Corporate</t>
        </is>
      </c>
      <c r="B11" s="4" t="n">
        <v>576</v>
      </c>
      <c r="C11" s="4" t="n">
        <v>500</v>
      </c>
      <c r="D11" s="4" t="n">
        <v>263</v>
      </c>
      <c r="E11" s="4" t="n">
        <v>333</v>
      </c>
      <c r="F11" s="4" t="n">
        <v>465</v>
      </c>
      <c r="G11" s="4" t="n">
        <v>650</v>
      </c>
      <c r="H11" s="5">
        <f>G11*(1+H26)</f>
        <v/>
      </c>
      <c r="I11" s="5">
        <f>H11*(1+I26)</f>
        <v/>
      </c>
      <c r="J11" s="5">
        <f>I11*(1+J26)</f>
        <v/>
      </c>
      <c r="K11" s="5">
        <f>J11*(1+K26)</f>
        <v/>
      </c>
      <c r="L11" s="5">
        <f>K11*(1+L26)</f>
        <v/>
      </c>
    </row>
    <row r="12">
      <c r="A12" s="6" t="inlineStr">
        <is>
          <t>Total group revenue (consolidated, ex-UK 50% JV)</t>
        </is>
      </c>
      <c r="B12" s="7">
        <f>SUM(B6:B11)-B9</f>
        <v/>
      </c>
      <c r="C12" s="7">
        <f>SUM(C6:C11)-C9</f>
        <v/>
      </c>
      <c r="D12" s="7">
        <f>SUM(D6:D11)-D9</f>
        <v/>
      </c>
      <c r="E12" s="7">
        <f>SUM(E6:E11)-E9</f>
        <v/>
      </c>
      <c r="F12" s="7">
        <f>SUM(F6:F11)-F9</f>
        <v/>
      </c>
      <c r="G12" s="7">
        <f>SUM(G6:G11)-G9</f>
        <v/>
      </c>
      <c r="H12" s="7">
        <f>SUM(H6:H11)-H9</f>
        <v/>
      </c>
      <c r="I12" s="7">
        <f>SUM(I6:I11)-I9</f>
        <v/>
      </c>
      <c r="J12" s="7">
        <f>SUM(J6:J11)-J9</f>
        <v/>
      </c>
      <c r="K12" s="7">
        <f>SUM(K6:K11)-K9</f>
        <v/>
      </c>
      <c r="L12" s="7">
        <f>SUM(L6:L11)-L9</f>
        <v/>
      </c>
    </row>
    <row r="13">
      <c r="A13" s="8" t="inlineStr">
        <is>
          <t>memo: UK (VMO2 50%, equity method)</t>
        </is>
      </c>
      <c r="B13" s="9">
        <f>B9</f>
        <v/>
      </c>
      <c r="C13" s="9">
        <f>C9</f>
        <v/>
      </c>
      <c r="D13" s="9">
        <f>D9</f>
        <v/>
      </c>
      <c r="E13" s="9">
        <f>E9</f>
        <v/>
      </c>
      <c r="F13" s="9">
        <f>F9</f>
        <v/>
      </c>
      <c r="G13" s="9">
        <f>G9</f>
        <v/>
      </c>
      <c r="H13" s="9">
        <f>H9</f>
        <v/>
      </c>
      <c r="I13" s="9">
        <f>I9</f>
        <v/>
      </c>
      <c r="J13" s="9">
        <f>J9</f>
        <v/>
      </c>
      <c r="K13" s="9">
        <f>K9</f>
        <v/>
      </c>
      <c r="L13" s="9">
        <f>L9</f>
        <v/>
      </c>
    </row>
    <row r="14">
      <c r="A14" s="8" t="inlineStr">
        <is>
          <t>YoY growth (consolidated)</t>
        </is>
      </c>
      <c r="B14" s="5" t="n"/>
      <c r="C14" s="9">
        <f>C12/B12-1</f>
        <v/>
      </c>
      <c r="D14" s="9">
        <f>D12/C12-1</f>
        <v/>
      </c>
      <c r="E14" s="9">
        <f>E12/D12-1</f>
        <v/>
      </c>
      <c r="F14" s="9">
        <f>F12/E12-1</f>
        <v/>
      </c>
      <c r="G14" s="9">
        <f>G12/F12-1</f>
        <v/>
      </c>
      <c r="H14" s="9">
        <f>H12/G12-1</f>
        <v/>
      </c>
      <c r="I14" s="9">
        <f>I12/H12-1</f>
        <v/>
      </c>
      <c r="J14" s="9">
        <f>J12/I12-1</f>
        <v/>
      </c>
      <c r="K14" s="9">
        <f>K12/J12-1</f>
        <v/>
      </c>
      <c r="L14" s="9">
        <f>L12/K12-1</f>
        <v/>
      </c>
    </row>
    <row r="15"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</row>
    <row r="16">
      <c r="A16" s="10" t="inlineStr">
        <is>
          <t>Tie-out check (FY25A vs reported €35,120M)</t>
        </is>
      </c>
      <c r="B16" s="5" t="n"/>
      <c r="C16" s="5" t="n"/>
      <c r="D16" s="5" t="n"/>
      <c r="E16" s="5" t="n"/>
      <c r="F16" s="5" t="n"/>
      <c r="G16" s="5" t="n"/>
      <c r="H16" s="11">
        <f>G12-35120</f>
        <v/>
      </c>
      <c r="I16" s="5" t="n"/>
      <c r="J16" s="5" t="n"/>
      <c r="K16" s="5" t="n"/>
      <c r="L16" s="5" t="n"/>
    </row>
    <row r="17"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</row>
    <row r="18"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</row>
    <row r="20"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</row>
    <row r="22"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</row>
    <row r="24"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12" t="inlineStr">
        <is>
          <t>(blank cells = historical; edit FY26E+)</t>
        </is>
      </c>
      <c r="B25" s="2" t="inlineStr">
        <is>
          <t>FY20A</t>
        </is>
      </c>
      <c r="C25" s="2" t="inlineStr">
        <is>
          <t>FY21A</t>
        </is>
      </c>
      <c r="D25" s="2" t="inlineStr">
        <is>
          <t>FY22A</t>
        </is>
      </c>
      <c r="E25" s="2" t="inlineStr">
        <is>
          <t>FY23A</t>
        </is>
      </c>
      <c r="F25" s="2" t="inlineStr">
        <is>
          <t>FY24A</t>
        </is>
      </c>
      <c r="G25" s="2" t="inlineStr">
        <is>
          <t>FY25A</t>
        </is>
      </c>
      <c r="H25" s="2" t="inlineStr">
        <is>
          <t>FY26E</t>
        </is>
      </c>
      <c r="I25" s="2" t="inlineStr">
        <is>
          <t>FY27E</t>
        </is>
      </c>
      <c r="J25" s="2" t="inlineStr">
        <is>
          <t>FY28E</t>
        </is>
      </c>
      <c r="K25" s="2" t="inlineStr">
        <is>
          <t>FY29E</t>
        </is>
      </c>
      <c r="L25" s="2" t="inlineStr">
        <is>
          <t>FY30E</t>
        </is>
      </c>
    </row>
    <row r="26">
      <c r="A26" t="inlineStr">
        <is>
          <t>Spain growth</t>
        </is>
      </c>
      <c r="H26" s="13" t="n">
        <v>0.015</v>
      </c>
      <c r="I26" s="13" t="n">
        <v>0.018</v>
      </c>
      <c r="J26" s="13" t="n">
        <v>0.02</v>
      </c>
      <c r="K26" s="13" t="n">
        <v>0.025</v>
      </c>
      <c r="L26" s="13" t="n">
        <v>0.025</v>
      </c>
    </row>
    <row r="27">
      <c r="A27" t="inlineStr">
        <is>
          <t>Brazil (Vivo) growth</t>
        </is>
      </c>
      <c r="H27" s="13" t="n">
        <v>0.045</v>
      </c>
      <c r="I27" s="13" t="n">
        <v>0.04</v>
      </c>
      <c r="J27" s="13" t="n">
        <v>0.035</v>
      </c>
      <c r="K27" s="13" t="n">
        <v>0.04</v>
      </c>
      <c r="L27" s="13" t="n">
        <v>0.04</v>
      </c>
    </row>
    <row r="28">
      <c r="A28" t="inlineStr">
        <is>
          <t>Germany (O2D) growth</t>
        </is>
      </c>
      <c r="H28" s="13" t="n">
        <v>0.005</v>
      </c>
      <c r="I28" s="13" t="n">
        <v>0.015</v>
      </c>
      <c r="J28" s="13" t="n">
        <v>0.02</v>
      </c>
      <c r="K28" s="13" t="n">
        <v>0.025</v>
      </c>
      <c r="L28" s="13" t="n">
        <v>0.025</v>
      </c>
    </row>
    <row r="29">
      <c r="A29" t="inlineStr">
        <is>
          <t>UK (VMO2 50%) growth</t>
        </is>
      </c>
      <c r="H29" s="13" t="n">
        <v>0</v>
      </c>
      <c r="I29" s="13" t="n">
        <v>0.018</v>
      </c>
      <c r="J29" s="13" t="n">
        <v>0.018</v>
      </c>
      <c r="K29" s="13" t="n">
        <v>0.02</v>
      </c>
      <c r="L29" s="13" t="n">
        <v>0.02</v>
      </c>
    </row>
    <row r="30">
      <c r="A30" t="inlineStr">
        <is>
          <t>Hispam growth</t>
        </is>
      </c>
      <c r="H30" s="13" t="n">
        <v>-0.4</v>
      </c>
      <c r="I30" s="13" t="n">
        <v>-0.5</v>
      </c>
      <c r="J30" s="13" t="n">
        <v>-0.5</v>
      </c>
      <c r="K30" s="13" t="n">
        <v>-0.5</v>
      </c>
      <c r="L30" s="13" t="n">
        <v>0</v>
      </c>
    </row>
    <row r="31">
      <c r="A31" t="inlineStr">
        <is>
          <t>Tech / Corporate growth</t>
        </is>
      </c>
      <c r="H31" s="13" t="n">
        <v>0.3</v>
      </c>
      <c r="I31" s="13" t="n">
        <v>0.25</v>
      </c>
      <c r="J31" s="13" t="n">
        <v>0.22</v>
      </c>
      <c r="K31" s="13" t="n">
        <v>0.2</v>
      </c>
      <c r="L31" s="13" t="n">
        <v>0.2</v>
      </c>
    </row>
    <row r="33">
      <c r="A33" s="14" t="inlineStr">
        <is>
          <t>Plan target: 1.5-2.5% CAGR 25-28; 2.5-3.5% 28-30</t>
        </is>
      </c>
    </row>
  </sheetData>
  <mergeCells count="1">
    <mergeCell ref="A1:L1"/>
  </mergeCells>
  <pageMargins left="0.75" right="0.75" top="1" bottom="1" header="0.5" footer="0.5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TEF v2 — Valuation Summary (Football Field)</t>
        </is>
      </c>
    </row>
    <row r="3">
      <c r="A3" s="6" t="inlineStr">
        <is>
          <t>Method</t>
        </is>
      </c>
      <c r="B3" s="2" t="inlineStr">
        <is>
          <t>Low (€)</t>
        </is>
      </c>
      <c r="C3" s="2" t="inlineStr">
        <is>
          <t>High (€)</t>
        </is>
      </c>
      <c r="D3" s="2" t="inlineStr">
        <is>
          <t>Mid (€)</t>
        </is>
      </c>
      <c r="E3" s="2" t="inlineStr">
        <is>
          <t>Weight</t>
        </is>
      </c>
      <c r="F3" s="2" t="inlineStr">
        <is>
          <t>Contribution</t>
        </is>
      </c>
    </row>
    <row r="4">
      <c r="A4" t="inlineStr">
        <is>
          <t>DCF (€3bn FCF + plan growth)</t>
        </is>
      </c>
      <c r="B4" s="45" t="n">
        <v>3.2</v>
      </c>
      <c r="C4" s="45" t="n">
        <v>4.5</v>
      </c>
      <c r="D4" s="45" t="n">
        <v>3.85</v>
      </c>
      <c r="E4" s="45">
        <f>D4*E4</f>
        <v/>
      </c>
    </row>
    <row r="5">
      <c r="A5" t="inlineStr">
        <is>
          <t>Comps (peer 50–75 pctile re-rate)</t>
        </is>
      </c>
      <c r="B5" s="45" t="n">
        <v>3.05</v>
      </c>
      <c r="C5" s="45" t="n">
        <v>4.1</v>
      </c>
      <c r="D5" s="45" t="n">
        <v>3.6</v>
      </c>
      <c r="E5" s="45">
        <f>D5*E5</f>
        <v/>
      </c>
    </row>
    <row r="6">
      <c r="A6" t="inlineStr">
        <is>
          <t>Sum-of-parts</t>
        </is>
      </c>
      <c r="B6" s="45" t="n">
        <v>3.15</v>
      </c>
      <c r="C6" s="45" t="n">
        <v>3.5</v>
      </c>
      <c r="D6" s="45" t="n">
        <v>3.3</v>
      </c>
      <c r="E6" s="45">
        <f>D6*E6</f>
        <v/>
      </c>
    </row>
    <row r="7">
      <c r="A7" t="inlineStr">
        <is>
          <t>52-week historical range</t>
        </is>
      </c>
      <c r="B7" s="45" t="n">
        <v>3.24</v>
      </c>
      <c r="C7" s="45" t="n">
        <v>4.89</v>
      </c>
      <c r="D7" s="45" t="n">
        <v>4.05</v>
      </c>
    </row>
    <row r="8">
      <c r="A8" t="inlineStr">
        <is>
          <t>Sell-side consensus (n=23)</t>
        </is>
      </c>
      <c r="B8" s="45" t="n">
        <v>2.6</v>
      </c>
      <c r="C8" s="45" t="n">
        <v>5</v>
      </c>
      <c r="D8" s="45" t="n">
        <v>3.9</v>
      </c>
    </row>
    <row r="10">
      <c r="A10" s="2" t="inlineStr">
        <is>
          <t>BLENDED PRICE TARGET</t>
        </is>
      </c>
      <c r="F10" s="32">
        <f>SUM(F4:F8)</f>
        <v/>
      </c>
    </row>
    <row r="11">
      <c r="A11" s="44" t="inlineStr">
        <is>
          <t>Rounded PT (€4.10)</t>
        </is>
      </c>
    </row>
    <row r="13">
      <c r="A13" t="inlineStr">
        <is>
          <t>Current price (€)</t>
        </is>
      </c>
      <c r="B13" s="46" t="n">
        <v>3.8</v>
      </c>
    </row>
    <row r="14">
      <c r="A14" s="6" t="inlineStr">
        <is>
          <t>Upside to PT</t>
        </is>
      </c>
      <c r="B14" s="47">
        <f>4.10/B13-1</f>
        <v/>
      </c>
    </row>
    <row r="15">
      <c r="A15" s="44" t="inlineStr">
        <is>
          <t>2026 dividend yield</t>
        </is>
      </c>
      <c r="B15" s="43">
        <f>0.15/B13</f>
        <v/>
      </c>
    </row>
    <row r="16">
      <c r="A16" s="6" t="inlineStr">
        <is>
          <t>Total return (PT + 2026 div)</t>
        </is>
      </c>
      <c r="B16" s="47">
        <f>B14+B15</f>
        <v/>
      </c>
    </row>
    <row r="18">
      <c r="A18" s="6" t="inlineStr">
        <is>
          <t>Recommendation</t>
        </is>
      </c>
      <c r="B18" s="48" t="inlineStr">
        <is>
          <t>HOLD</t>
        </is>
      </c>
    </row>
    <row r="20">
      <c r="A20" t="inlineStr">
        <is>
          <t>Consensus avg PT (23 analysts)</t>
        </is>
      </c>
      <c r="B20" s="46" t="n">
        <v>3.9</v>
      </c>
    </row>
    <row r="21">
      <c r="A21" s="44" t="inlineStr">
        <is>
          <t>Consensus rating</t>
        </is>
      </c>
      <c r="B21" t="inlineStr">
        <is>
          <t>Neutral (3B/14H/6S)</t>
        </is>
      </c>
    </row>
    <row r="22">
      <c r="A22" s="44" t="inlineStr">
        <is>
          <t>Our PT vs consensus avg</t>
        </is>
      </c>
      <c r="B22" s="49">
        <f>4.10-B20</f>
        <v/>
      </c>
    </row>
  </sheetData>
  <mergeCells count="1">
    <mergeCell ref="A1:F1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TEF v2 — Income Statement (€ millions)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FY25A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  <c r="L3" s="2" t="inlineStr">
        <is>
          <t>FY30E</t>
        </is>
      </c>
    </row>
    <row r="5">
      <c r="A5" s="6" t="inlineStr">
        <is>
          <t>Revenue</t>
        </is>
      </c>
      <c r="B5" s="15">
        <f>Revenue_Model!B12</f>
        <v/>
      </c>
      <c r="C5" s="15">
        <f>Revenue_Model!C12</f>
        <v/>
      </c>
      <c r="D5" s="15">
        <f>Revenue_Model!D12</f>
        <v/>
      </c>
      <c r="E5" s="15">
        <f>Revenue_Model!E12</f>
        <v/>
      </c>
      <c r="F5" s="15">
        <f>Revenue_Model!F12</f>
        <v/>
      </c>
      <c r="G5" s="15">
        <f>Revenue_Model!G12</f>
        <v/>
      </c>
      <c r="H5" s="15">
        <f>Revenue_Model!H12</f>
        <v/>
      </c>
      <c r="I5" s="15">
        <f>Revenue_Model!I12</f>
        <v/>
      </c>
      <c r="J5" s="15">
        <f>Revenue_Model!J12</f>
        <v/>
      </c>
      <c r="K5" s="15">
        <f>Revenue_Model!K12</f>
        <v/>
      </c>
      <c r="L5" s="15">
        <f>Revenue_Model!L12</f>
        <v/>
      </c>
    </row>
    <row r="6"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</row>
    <row r="7">
      <c r="A7" s="6" t="inlineStr">
        <is>
          <t>Adjusted EBITDA</t>
        </is>
      </c>
      <c r="B7" s="17" t="n">
        <v>13819</v>
      </c>
      <c r="C7" s="17" t="n">
        <v>22530</v>
      </c>
      <c r="D7" s="17" t="n">
        <v>14786</v>
      </c>
      <c r="E7" s="17" t="n">
        <v>10338</v>
      </c>
      <c r="F7" s="17" t="n">
        <v>12354</v>
      </c>
      <c r="G7" s="17" t="n">
        <v>11918</v>
      </c>
      <c r="H7" s="17">
        <f>H5*H8</f>
        <v/>
      </c>
      <c r="I7" s="17">
        <f>I5*I8</f>
        <v/>
      </c>
      <c r="J7" s="17">
        <f>J5*J8</f>
        <v/>
      </c>
      <c r="K7" s="17">
        <f>K5*K8</f>
        <v/>
      </c>
      <c r="L7" s="17">
        <f>L5*L8</f>
        <v/>
      </c>
    </row>
    <row r="8">
      <c r="A8" s="8" t="inlineStr">
        <is>
          <t>EBITDA margin (forward driver)</t>
        </is>
      </c>
      <c r="B8" s="18">
        <f>B7/B5</f>
        <v/>
      </c>
      <c r="C8" s="18">
        <f>C7/C5</f>
        <v/>
      </c>
      <c r="D8" s="18">
        <f>D7/D5</f>
        <v/>
      </c>
      <c r="E8" s="18">
        <f>E7/E5</f>
        <v/>
      </c>
      <c r="F8" s="18">
        <f>F7/F5</f>
        <v/>
      </c>
      <c r="G8" s="18">
        <f>G7/G5</f>
        <v/>
      </c>
      <c r="H8" s="19" t="n">
        <v>0.336</v>
      </c>
      <c r="I8" s="19" t="n">
        <v>0.342</v>
      </c>
      <c r="J8" s="19" t="n">
        <v>0.348</v>
      </c>
      <c r="K8" s="19" t="n">
        <v>0.35</v>
      </c>
      <c r="L8" s="19" t="n">
        <v>0.352</v>
      </c>
    </row>
    <row r="9"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</row>
    <row r="10">
      <c r="A10" t="inlineStr">
        <is>
          <t>Depreciation &amp; amortisation</t>
        </is>
      </c>
      <c r="B10" s="19" t="n">
        <v>-8200</v>
      </c>
      <c r="C10" s="19" t="n">
        <v>-8400</v>
      </c>
      <c r="D10" s="19" t="n">
        <v>-8796</v>
      </c>
      <c r="E10" s="19" t="n">
        <v>-8797</v>
      </c>
      <c r="F10" s="19" t="n">
        <v>-8799</v>
      </c>
      <c r="G10" s="19" t="n">
        <v>-7800</v>
      </c>
      <c r="H10" s="16">
        <f>-H5*0.215</f>
        <v/>
      </c>
      <c r="I10" s="16">
        <f>-I5*0.21</f>
        <v/>
      </c>
      <c r="J10" s="16">
        <f>-J5*0.205</f>
        <v/>
      </c>
      <c r="K10" s="16">
        <f>-K5*0.2</f>
        <v/>
      </c>
      <c r="L10" s="16">
        <f>-L5*0.195</f>
        <v/>
      </c>
    </row>
    <row r="11">
      <c r="A11" s="6" t="inlineStr">
        <is>
          <t>EBIT</t>
        </is>
      </c>
      <c r="B11" s="15">
        <f>B7+B10</f>
        <v/>
      </c>
      <c r="C11" s="15">
        <f>C7+C10</f>
        <v/>
      </c>
      <c r="D11" s="15">
        <f>D7+D10</f>
        <v/>
      </c>
      <c r="E11" s="15">
        <f>E7+E10</f>
        <v/>
      </c>
      <c r="F11" s="15">
        <f>F7+F10</f>
        <v/>
      </c>
      <c r="G11" s="15">
        <f>G7+G10</f>
        <v/>
      </c>
      <c r="H11" s="15">
        <f>H7+H10</f>
        <v/>
      </c>
      <c r="I11" s="15">
        <f>I7+I10</f>
        <v/>
      </c>
      <c r="J11" s="15">
        <f>J7+J10</f>
        <v/>
      </c>
      <c r="K11" s="15">
        <f>K7+K10</f>
        <v/>
      </c>
      <c r="L11" s="15">
        <f>L7+L10</f>
        <v/>
      </c>
    </row>
    <row r="12">
      <c r="A12" t="inlineStr">
        <is>
          <t>Net interest expense</t>
        </is>
      </c>
      <c r="B12" s="19" t="n">
        <v>-1750</v>
      </c>
      <c r="C12" s="19" t="n">
        <v>-1820</v>
      </c>
      <c r="D12" s="19" t="n">
        <v>-1890</v>
      </c>
      <c r="E12" s="19" t="n">
        <v>-1950</v>
      </c>
      <c r="F12" s="19" t="n">
        <v>-2150</v>
      </c>
      <c r="G12" s="19" t="n">
        <v>-2050</v>
      </c>
      <c r="H12" s="19" t="n">
        <v>-1900</v>
      </c>
      <c r="I12" s="19" t="n">
        <v>-1800</v>
      </c>
      <c r="J12" s="19" t="n">
        <v>-1700</v>
      </c>
      <c r="K12" s="19" t="n">
        <v>-1600</v>
      </c>
      <c r="L12" s="19" t="n">
        <v>-1500</v>
      </c>
    </row>
    <row r="13">
      <c r="A13" t="inlineStr">
        <is>
          <t>Other (gains/losses)</t>
        </is>
      </c>
      <c r="B13" s="19" t="n">
        <v>200</v>
      </c>
      <c r="C13" s="19" t="n">
        <v>150</v>
      </c>
      <c r="D13" s="19" t="n">
        <v>480</v>
      </c>
      <c r="E13" s="19" t="n">
        <v>250</v>
      </c>
      <c r="F13" s="19" t="n">
        <v>-350</v>
      </c>
      <c r="G13" s="19" t="n">
        <v>-100</v>
      </c>
      <c r="H13" s="19" t="n">
        <v>100</v>
      </c>
      <c r="I13" s="19" t="n">
        <v>100</v>
      </c>
      <c r="J13" s="19" t="n">
        <v>100</v>
      </c>
      <c r="K13" s="19" t="n">
        <v>100</v>
      </c>
      <c r="L13" s="19" t="n">
        <v>100</v>
      </c>
    </row>
    <row r="14">
      <c r="A14" s="6" t="inlineStr">
        <is>
          <t>Pre-tax income</t>
        </is>
      </c>
      <c r="B14" s="15">
        <f>B11+B12+B13</f>
        <v/>
      </c>
      <c r="C14" s="15">
        <f>C11+C12+C13</f>
        <v/>
      </c>
      <c r="D14" s="15">
        <f>D11+D12+D13</f>
        <v/>
      </c>
      <c r="E14" s="15">
        <f>E11+E12+E13</f>
        <v/>
      </c>
      <c r="F14" s="15">
        <f>F11+F12+F13</f>
        <v/>
      </c>
      <c r="G14" s="15">
        <f>G11+G12+G13</f>
        <v/>
      </c>
      <c r="H14" s="15">
        <f>H11+H12+H13</f>
        <v/>
      </c>
      <c r="I14" s="15">
        <f>I11+I12+I13</f>
        <v/>
      </c>
      <c r="J14" s="15">
        <f>J11+J12+J13</f>
        <v/>
      </c>
      <c r="K14" s="15">
        <f>K11+K12+K13</f>
        <v/>
      </c>
      <c r="L14" s="15">
        <f>L11+L12+L13</f>
        <v/>
      </c>
    </row>
    <row r="15">
      <c r="A15" t="inlineStr">
        <is>
          <t>Tax (effective 22%)</t>
        </is>
      </c>
      <c r="B15" s="16">
        <f>-B14*0.22</f>
        <v/>
      </c>
      <c r="C15" s="16">
        <f>-C14*0.22</f>
        <v/>
      </c>
      <c r="D15" s="16">
        <f>-D14*0.22</f>
        <v/>
      </c>
      <c r="E15" s="16">
        <f>-E14*0.22</f>
        <v/>
      </c>
      <c r="F15" s="16">
        <f>-F14*0.22</f>
        <v/>
      </c>
      <c r="G15" s="16">
        <f>-G14*0.22</f>
        <v/>
      </c>
      <c r="H15" s="16">
        <f>-H14*0.22</f>
        <v/>
      </c>
      <c r="I15" s="16">
        <f>-I14*0.22</f>
        <v/>
      </c>
      <c r="J15" s="16">
        <f>-J14*0.22</f>
        <v/>
      </c>
      <c r="K15" s="16">
        <f>-K14*0.22</f>
        <v/>
      </c>
      <c r="L15" s="16">
        <f>-L14*0.22</f>
        <v/>
      </c>
    </row>
    <row r="16">
      <c r="A16" t="inlineStr">
        <is>
          <t>Minority interest</t>
        </is>
      </c>
      <c r="B16" s="19" t="n">
        <v>-650</v>
      </c>
      <c r="C16" s="19" t="n">
        <v>-700</v>
      </c>
      <c r="D16" s="19" t="n">
        <v>-1561</v>
      </c>
      <c r="E16" s="19" t="n">
        <v>-383</v>
      </c>
      <c r="F16" s="19" t="n">
        <v>-854</v>
      </c>
      <c r="G16" s="19" t="n">
        <v>-700</v>
      </c>
      <c r="H16" s="19" t="n">
        <v>-700</v>
      </c>
      <c r="I16" s="19" t="n">
        <v>-700</v>
      </c>
      <c r="J16" s="19" t="n">
        <v>-700</v>
      </c>
      <c r="K16" s="19" t="n">
        <v>-700</v>
      </c>
      <c r="L16" s="19" t="n">
        <v>-700</v>
      </c>
    </row>
    <row r="17">
      <c r="A17" s="6" t="inlineStr">
        <is>
          <t>Net income (continuing)</t>
        </is>
      </c>
      <c r="B17" s="17">
        <f>B14+B15+B16</f>
        <v/>
      </c>
      <c r="C17" s="17">
        <f>C14+C15+C16</f>
        <v/>
      </c>
      <c r="D17" s="17">
        <f>D14+D15+D16</f>
        <v/>
      </c>
      <c r="E17" s="17">
        <f>E14+E15+E16</f>
        <v/>
      </c>
      <c r="F17" s="17">
        <f>F14+F15+F16</f>
        <v/>
      </c>
      <c r="G17" s="17">
        <f>G14+G15+G16</f>
        <v/>
      </c>
      <c r="H17" s="17">
        <f>H14+H15+H16</f>
        <v/>
      </c>
      <c r="I17" s="17">
        <f>I14+I15+I16</f>
        <v/>
      </c>
      <c r="J17" s="17">
        <f>J14+J15+J16</f>
        <v/>
      </c>
      <c r="K17" s="17">
        <f>K14+K15+K16</f>
        <v/>
      </c>
      <c r="L17" s="17">
        <f>L14+L15+L16</f>
        <v/>
      </c>
    </row>
    <row r="19">
      <c r="A19" t="inlineStr">
        <is>
          <t>Diluted shares (m)</t>
        </is>
      </c>
      <c r="B19" s="4" t="n">
        <v>5765</v>
      </c>
      <c r="C19" s="4" t="n">
        <v>5765</v>
      </c>
      <c r="D19" s="4" t="n">
        <v>5765</v>
      </c>
      <c r="E19" s="4" t="n">
        <v>5738</v>
      </c>
      <c r="F19" s="4" t="n">
        <v>5710</v>
      </c>
      <c r="G19" s="4" t="n">
        <v>5638</v>
      </c>
      <c r="H19" s="4" t="n">
        <v>5600</v>
      </c>
      <c r="I19" s="4" t="n">
        <v>5560</v>
      </c>
      <c r="J19" s="4" t="n">
        <v>5520</v>
      </c>
      <c r="K19" s="4" t="n">
        <v>5480</v>
      </c>
      <c r="L19" s="4" t="n">
        <v>5440</v>
      </c>
    </row>
    <row r="20">
      <c r="A20" s="6" t="inlineStr">
        <is>
          <t>EPS (€, continuing)</t>
        </is>
      </c>
      <c r="B20" s="20">
        <f>B17/B19</f>
        <v/>
      </c>
      <c r="C20" s="20">
        <f>C17/C19</f>
        <v/>
      </c>
      <c r="D20" s="20">
        <f>D17/D19</f>
        <v/>
      </c>
      <c r="E20" s="20">
        <f>E17/E19</f>
        <v/>
      </c>
      <c r="F20" s="20">
        <f>F17/F19</f>
        <v/>
      </c>
      <c r="G20" s="20">
        <f>G17/G19</f>
        <v/>
      </c>
      <c r="H20" s="20">
        <f>H17/H19</f>
        <v/>
      </c>
      <c r="I20" s="20">
        <f>I17/I19</f>
        <v/>
      </c>
      <c r="J20" s="20">
        <f>J17/J19</f>
        <v/>
      </c>
      <c r="K20" s="20">
        <f>K17/K19</f>
        <v/>
      </c>
      <c r="L20" s="20">
        <f>L17/L19</f>
        <v/>
      </c>
    </row>
    <row r="22">
      <c r="A22" t="inlineStr">
        <is>
          <t>DPS (€) — declared</t>
        </is>
      </c>
      <c r="B22" s="21" t="n">
        <v>0.4</v>
      </c>
      <c r="C22" s="21" t="n">
        <v>0.3</v>
      </c>
      <c r="D22" s="21" t="n">
        <v>0.3</v>
      </c>
      <c r="E22" s="21" t="n">
        <v>0.3</v>
      </c>
      <c r="F22" s="21" t="n">
        <v>0.3</v>
      </c>
      <c r="G22" s="21" t="n">
        <v>0.3</v>
      </c>
      <c r="H22" s="21" t="n">
        <v>0.15</v>
      </c>
      <c r="I22" s="21" t="n">
        <v>0.18</v>
      </c>
      <c r="J22" s="21" t="n">
        <v>0.2</v>
      </c>
      <c r="K22" s="21" t="n">
        <v>0.22</v>
      </c>
      <c r="L22" s="21" t="n">
        <v>0.24</v>
      </c>
    </row>
    <row r="23">
      <c r="A23" s="8" t="inlineStr">
        <is>
          <t>Dividend yield (at €3.80 spot)</t>
        </is>
      </c>
      <c r="B23" s="22">
        <f>B22/3.80</f>
        <v/>
      </c>
      <c r="C23" s="22">
        <f>C22/3.80</f>
        <v/>
      </c>
      <c r="D23" s="22">
        <f>D22/3.80</f>
        <v/>
      </c>
      <c r="E23" s="22">
        <f>E22/3.80</f>
        <v/>
      </c>
      <c r="F23" s="22">
        <f>F22/3.80</f>
        <v/>
      </c>
      <c r="G23" s="22">
        <f>G22/3.80</f>
        <v/>
      </c>
      <c r="H23" s="22">
        <f>H22/3.80</f>
        <v/>
      </c>
      <c r="I23" s="22">
        <f>I22/3.80</f>
        <v/>
      </c>
      <c r="J23" s="22">
        <f>J22/3.80</f>
        <v/>
      </c>
      <c r="K23" s="22">
        <f>K22/3.80</f>
        <v/>
      </c>
      <c r="L23" s="22">
        <f>L22/3.80</f>
        <v/>
      </c>
    </row>
  </sheetData>
  <mergeCells count="1">
    <mergeCell ref="A1:L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TEF v2 — Cash Flow (€ millions) — Note: Company FCF definition (post leases/spectrum/hybrids)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FY25A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  <c r="L3" s="2" t="inlineStr">
        <is>
          <t>FY30E</t>
        </is>
      </c>
    </row>
    <row r="5">
      <c r="A5" s="6" t="inlineStr">
        <is>
          <t>Free cash flow (company def.)</t>
        </is>
      </c>
      <c r="B5" s="17" t="n">
        <v>3500</v>
      </c>
      <c r="C5" s="17" t="n">
        <v>3000</v>
      </c>
      <c r="D5" s="17" t="n">
        <v>2800</v>
      </c>
      <c r="E5" s="17" t="n">
        <v>2310</v>
      </c>
      <c r="F5" s="17" t="n">
        <v>2634</v>
      </c>
      <c r="G5" s="17" t="n">
        <v>2069</v>
      </c>
      <c r="H5" s="17" t="n">
        <v>3000</v>
      </c>
      <c r="I5" s="17" t="n">
        <v>3200</v>
      </c>
      <c r="J5" s="17" t="n">
        <v>3450</v>
      </c>
      <c r="K5" s="17" t="n">
        <v>3700</v>
      </c>
      <c r="L5" s="17" t="n">
        <v>3950</v>
      </c>
    </row>
    <row r="6"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</row>
    <row r="7">
      <c r="A7" t="inlineStr">
        <is>
          <t>Capital expenditure</t>
        </is>
      </c>
      <c r="B7" s="19" t="n">
        <v>-7020</v>
      </c>
      <c r="C7" s="19" t="n">
        <v>-6160</v>
      </c>
      <c r="D7" s="19" t="n">
        <v>-5510</v>
      </c>
      <c r="E7" s="19" t="n">
        <v>-6160</v>
      </c>
      <c r="F7" s="19" t="n">
        <v>-5790</v>
      </c>
      <c r="G7" s="19" t="n">
        <v>-4350</v>
      </c>
      <c r="H7" s="19" t="n">
        <v>-4250</v>
      </c>
      <c r="I7" s="19" t="n">
        <v>-4350</v>
      </c>
      <c r="J7" s="19" t="n">
        <v>-4480</v>
      </c>
      <c r="K7" s="19" t="n">
        <v>-4610</v>
      </c>
      <c r="L7" s="19" t="n">
        <v>-4740</v>
      </c>
    </row>
    <row r="8">
      <c r="A8" s="8" t="inlineStr">
        <is>
          <t>Capex / sales</t>
        </is>
      </c>
      <c r="B8" s="18">
        <f>-B7/Income_Statement!B5</f>
        <v/>
      </c>
      <c r="C8" s="18">
        <f>-C7/Income_Statement!C5</f>
        <v/>
      </c>
      <c r="D8" s="18">
        <f>-D7/Income_Statement!D5</f>
        <v/>
      </c>
      <c r="E8" s="18">
        <f>-E7/Income_Statement!E5</f>
        <v/>
      </c>
      <c r="F8" s="18">
        <f>-F7/Income_Statement!F5</f>
        <v/>
      </c>
      <c r="G8" s="18">
        <f>-G7/Income_Statement!G5</f>
        <v/>
      </c>
      <c r="H8" s="18">
        <f>-H7/Income_Statement!H5</f>
        <v/>
      </c>
      <c r="I8" s="18">
        <f>-I7/Income_Statement!I5</f>
        <v/>
      </c>
      <c r="J8" s="18">
        <f>-J7/Income_Statement!J5</f>
        <v/>
      </c>
      <c r="K8" s="18">
        <f>-K7/Income_Statement!K5</f>
        <v/>
      </c>
      <c r="L8" s="18">
        <f>-L7/Income_Statement!L5</f>
        <v/>
      </c>
    </row>
    <row r="9"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</row>
    <row r="10">
      <c r="A10" t="inlineStr">
        <is>
          <t>Dividends paid</t>
        </is>
      </c>
      <c r="B10" s="19" t="n">
        <v>-1300</v>
      </c>
      <c r="C10" s="19" t="n">
        <v>-3630</v>
      </c>
      <c r="D10" s="19" t="n">
        <v>-1400</v>
      </c>
      <c r="E10" s="19" t="n">
        <v>-1700</v>
      </c>
      <c r="F10" s="19" t="n">
        <v>-1760</v>
      </c>
      <c r="G10" s="19" t="n">
        <v>-1700</v>
      </c>
      <c r="H10" s="19" t="n">
        <v>-845</v>
      </c>
      <c r="I10" s="19" t="n">
        <v>-1000</v>
      </c>
      <c r="J10" s="19" t="n">
        <v>-1110</v>
      </c>
      <c r="K10" s="19" t="n">
        <v>-1210</v>
      </c>
      <c r="L10" s="19" t="n">
        <v>-1310</v>
      </c>
    </row>
    <row r="11">
      <c r="A11" t="inlineStr">
        <is>
          <t>Share buybacks</t>
        </is>
      </c>
      <c r="B11" s="19" t="n">
        <v>0</v>
      </c>
      <c r="C11" s="19" t="n">
        <v>0</v>
      </c>
      <c r="D11" s="19" t="n">
        <v>0</v>
      </c>
      <c r="E11" s="19" t="n">
        <v>-250</v>
      </c>
      <c r="F11" s="19" t="n">
        <v>-500</v>
      </c>
      <c r="G11" s="19" t="n">
        <v>-500</v>
      </c>
      <c r="H11" s="19" t="n">
        <v>-300</v>
      </c>
      <c r="I11" s="19" t="n">
        <v>-400</v>
      </c>
      <c r="J11" s="19" t="n">
        <v>-500</v>
      </c>
      <c r="K11" s="19" t="n">
        <v>-500</v>
      </c>
      <c r="L11" s="19" t="n">
        <v>-500</v>
      </c>
    </row>
    <row r="12">
      <c r="B12" s="16" t="n"/>
      <c r="C12" s="16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</row>
    <row r="13">
      <c r="A13" s="6" t="inlineStr">
        <is>
          <t>Net debt repaid (released to deleveraging)</t>
        </is>
      </c>
      <c r="B13" s="15">
        <f>B5+B10+B11</f>
        <v/>
      </c>
      <c r="C13" s="15">
        <f>C5+C10+C11</f>
        <v/>
      </c>
      <c r="D13" s="15">
        <f>D5+D10+D11</f>
        <v/>
      </c>
      <c r="E13" s="15">
        <f>E5+E10+E11</f>
        <v/>
      </c>
      <c r="F13" s="15">
        <f>F5+F10+F11</f>
        <v/>
      </c>
      <c r="G13" s="15">
        <f>G5+G10+G11</f>
        <v/>
      </c>
      <c r="H13" s="15">
        <f>H5+H10+H11</f>
        <v/>
      </c>
      <c r="I13" s="15">
        <f>I5+I10+I11</f>
        <v/>
      </c>
      <c r="J13" s="15">
        <f>J5+J10+J11</f>
        <v/>
      </c>
      <c r="K13" s="15">
        <f>K5+K10+K11</f>
        <v/>
      </c>
      <c r="L13" s="15">
        <f>L5+L10+L11</f>
        <v/>
      </c>
    </row>
    <row r="14">
      <c r="A14" s="8" t="inlineStr">
        <is>
          <t>ΔNet financial debt (negative = reducing)</t>
        </is>
      </c>
      <c r="B14" s="18">
        <f>-B13</f>
        <v/>
      </c>
      <c r="C14" s="18">
        <f>-C13</f>
        <v/>
      </c>
      <c r="D14" s="18">
        <f>-D13</f>
        <v/>
      </c>
      <c r="E14" s="18">
        <f>-E13</f>
        <v/>
      </c>
      <c r="F14" s="18">
        <f>-F13</f>
        <v/>
      </c>
      <c r="G14" s="18">
        <f>-G13</f>
        <v/>
      </c>
      <c r="H14" s="18">
        <f>-H13</f>
        <v/>
      </c>
      <c r="I14" s="18">
        <f>-I13</f>
        <v/>
      </c>
      <c r="J14" s="18">
        <f>-J13</f>
        <v/>
      </c>
      <c r="K14" s="18">
        <f>-K13</f>
        <v/>
      </c>
      <c r="L14" s="18">
        <f>-L13</f>
        <v/>
      </c>
    </row>
  </sheetData>
  <mergeCells count="1">
    <mergeCell ref="A1:L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TEF v2 — Balance Sheet (€ millions, year-end)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FY25A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  <c r="L3" s="2" t="inlineStr">
        <is>
          <t>FY30E</t>
        </is>
      </c>
    </row>
    <row r="5">
      <c r="A5" s="2" t="inlineStr">
        <is>
          <t>Net financial debt (company definition)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</row>
    <row r="6">
      <c r="A6" t="inlineStr">
        <is>
          <t>Net financial debt (€m)</t>
        </is>
      </c>
      <c r="B6" s="4" t="n">
        <v>33780</v>
      </c>
      <c r="C6" s="4" t="n">
        <v>26550</v>
      </c>
      <c r="D6" s="4" t="n">
        <v>27800</v>
      </c>
      <c r="E6" s="4" t="n">
        <v>30490</v>
      </c>
      <c r="F6" s="4" t="n">
        <v>27161</v>
      </c>
      <c r="G6" s="4" t="n">
        <v>26824</v>
      </c>
      <c r="H6" s="5">
        <f>G6+Cash_Flow!H14</f>
        <v/>
      </c>
      <c r="I6" s="5">
        <f>H6+Cash_Flow!I14</f>
        <v/>
      </c>
      <c r="J6" s="5">
        <f>I6+Cash_Flow!J14</f>
        <v/>
      </c>
      <c r="K6" s="5">
        <f>J6+Cash_Flow!K14</f>
        <v/>
      </c>
      <c r="L6" s="5">
        <f>K6+Cash_Flow!L14</f>
        <v/>
      </c>
    </row>
    <row r="7">
      <c r="A7" t="inlineStr">
        <is>
          <t>Perpetual hybrid securities</t>
        </is>
      </c>
      <c r="B7" s="4" t="n">
        <v>4600</v>
      </c>
      <c r="C7" s="4" t="n">
        <v>4600</v>
      </c>
      <c r="D7" s="4" t="n">
        <v>4600</v>
      </c>
      <c r="E7" s="4" t="n">
        <v>4600</v>
      </c>
      <c r="F7" s="4" t="n">
        <v>4600</v>
      </c>
      <c r="G7" s="4" t="n">
        <v>4600</v>
      </c>
      <c r="H7" s="4" t="n">
        <v>4600</v>
      </c>
      <c r="I7" s="4" t="n">
        <v>4600</v>
      </c>
      <c r="J7" s="4" t="n">
        <v>4600</v>
      </c>
      <c r="K7" s="4" t="n">
        <v>4600</v>
      </c>
      <c r="L7" s="4" t="n">
        <v>4600</v>
      </c>
    </row>
    <row r="8">
      <c r="A8" s="6" t="inlineStr">
        <is>
          <t>Adjusted net debt (incl. hybrids)</t>
        </is>
      </c>
      <c r="B8" s="7">
        <f>B6+B7</f>
        <v/>
      </c>
      <c r="C8" s="7">
        <f>C6+C7</f>
        <v/>
      </c>
      <c r="D8" s="7">
        <f>D6+D7</f>
        <v/>
      </c>
      <c r="E8" s="7">
        <f>E6+E7</f>
        <v/>
      </c>
      <c r="F8" s="7">
        <f>F6+F7</f>
        <v/>
      </c>
      <c r="G8" s="7">
        <f>G6+G7</f>
        <v/>
      </c>
      <c r="H8" s="7">
        <f>H6+H7</f>
        <v/>
      </c>
      <c r="I8" s="7">
        <f>I6+I7</f>
        <v/>
      </c>
      <c r="J8" s="7">
        <f>J6+J7</f>
        <v/>
      </c>
      <c r="K8" s="7">
        <f>K6+K7</f>
        <v/>
      </c>
      <c r="L8" s="7">
        <f>L6+L7</f>
        <v/>
      </c>
    </row>
    <row r="9"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</row>
    <row r="10">
      <c r="A10" s="8" t="inlineStr">
        <is>
          <t>Net debt / EBITDAaL</t>
        </is>
      </c>
      <c r="B10" s="9">
        <f>B6/Income_Statement!B7</f>
        <v/>
      </c>
      <c r="C10" s="9">
        <f>C6/Income_Statement!C7</f>
        <v/>
      </c>
      <c r="D10" s="9">
        <f>D6/Income_Statement!D7</f>
        <v/>
      </c>
      <c r="E10" s="9">
        <f>E6/Income_Statement!E7</f>
        <v/>
      </c>
      <c r="F10" s="9">
        <f>F6/Income_Statement!F7</f>
        <v/>
      </c>
      <c r="G10" s="9">
        <f>G6/Income_Statement!G7</f>
        <v/>
      </c>
      <c r="H10" s="9">
        <f>H6/Income_Statement!H7</f>
        <v/>
      </c>
      <c r="I10" s="9">
        <f>I6/Income_Statement!I7</f>
        <v/>
      </c>
      <c r="J10" s="9">
        <f>J6/Income_Statement!J7</f>
        <v/>
      </c>
      <c r="K10" s="9">
        <f>K6/Income_Statement!K7</f>
        <v/>
      </c>
      <c r="L10" s="9">
        <f>L6/Income_Statement!L7</f>
        <v/>
      </c>
    </row>
    <row r="11">
      <c r="A11" s="23" t="inlineStr">
        <is>
          <t>2028 target: ~2.5x</t>
        </is>
      </c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</row>
    <row r="12"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2" t="inlineStr">
        <is>
          <t>Reference balance sheet (€m)</t>
        </is>
      </c>
      <c r="B13" s="24" t="n"/>
      <c r="C13" s="24" t="n"/>
      <c r="D13" s="24" t="n"/>
      <c r="E13" s="24" t="n"/>
      <c r="F13" s="24" t="n"/>
      <c r="G13" s="24" t="n"/>
      <c r="H13" s="24" t="n"/>
      <c r="I13" s="24" t="n"/>
      <c r="J13" s="24" t="n"/>
      <c r="K13" s="24" t="n"/>
      <c r="L13" s="24" t="n"/>
    </row>
    <row r="14">
      <c r="A14" t="inlineStr">
        <is>
          <t>Cash &amp; equivalents</t>
        </is>
      </c>
      <c r="B14" s="4" t="n">
        <v>5600</v>
      </c>
      <c r="C14" s="4" t="n">
        <v>8580</v>
      </c>
      <c r="D14" s="4" t="n">
        <v>7250</v>
      </c>
      <c r="E14" s="4" t="n">
        <v>7150</v>
      </c>
      <c r="F14" s="4" t="n">
        <v>8060</v>
      </c>
      <c r="G14" s="4" t="n">
        <v>7500</v>
      </c>
      <c r="H14" s="4" t="n">
        <v>8200</v>
      </c>
      <c r="I14" s="4" t="n">
        <v>9000</v>
      </c>
      <c r="J14" s="4" t="n">
        <v>10000</v>
      </c>
      <c r="K14" s="4" t="n">
        <v>11200</v>
      </c>
      <c r="L14" s="4" t="n">
        <v>12500</v>
      </c>
    </row>
    <row r="15">
      <c r="A15" t="inlineStr">
        <is>
          <t>Total assets (memo)</t>
        </is>
      </c>
      <c r="B15" s="4" t="n">
        <v>105050</v>
      </c>
      <c r="C15" s="4" t="n">
        <v>109210</v>
      </c>
      <c r="D15" s="4" t="n">
        <v>109640</v>
      </c>
      <c r="E15" s="4" t="n">
        <v>104320</v>
      </c>
      <c r="F15" s="4" t="n">
        <v>100500</v>
      </c>
      <c r="G15" s="4" t="n">
        <v>95000</v>
      </c>
      <c r="H15" s="4" t="n">
        <v>94500</v>
      </c>
      <c r="I15" s="4" t="n">
        <v>94200</v>
      </c>
      <c r="J15" s="4" t="n">
        <v>94000</v>
      </c>
      <c r="K15" s="4" t="n">
        <v>93800</v>
      </c>
      <c r="L15" s="4" t="n">
        <v>93600</v>
      </c>
    </row>
    <row r="16">
      <c r="A16" t="inlineStr">
        <is>
          <t>Common equity</t>
        </is>
      </c>
      <c r="B16" s="4" t="n">
        <v>11230</v>
      </c>
      <c r="C16" s="4" t="n">
        <v>22210</v>
      </c>
      <c r="D16" s="4" t="n">
        <v>25090</v>
      </c>
      <c r="E16" s="4" t="n">
        <v>14300</v>
      </c>
      <c r="F16" s="4" t="n">
        <v>19350</v>
      </c>
      <c r="G16" s="4" t="n">
        <v>18500</v>
      </c>
      <c r="H16" s="4" t="n">
        <v>19500</v>
      </c>
      <c r="I16" s="4" t="n">
        <v>21000</v>
      </c>
      <c r="J16" s="4" t="n">
        <v>23500</v>
      </c>
      <c r="K16" s="4" t="n">
        <v>26200</v>
      </c>
      <c r="L16" s="4" t="n">
        <v>29200</v>
      </c>
    </row>
  </sheetData>
  <mergeCells count="1">
    <mergeCell ref="A1:L1"/>
  </mergeCell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TEF v2 — Bear / Base / Bull scenarios (FY28E mid-plan)</t>
        </is>
      </c>
    </row>
    <row r="3">
      <c r="A3" s="2" t="inlineStr"/>
      <c r="B3" s="2" t="inlineStr">
        <is>
          <t>Bear</t>
        </is>
      </c>
      <c r="C3" s="2" t="inlineStr">
        <is>
          <t>Base</t>
        </is>
      </c>
      <c r="D3" s="2" t="inlineStr">
        <is>
          <t>Bull</t>
        </is>
      </c>
    </row>
    <row r="5">
      <c r="A5" t="inlineStr">
        <is>
          <t>Group revenue (€m)</t>
        </is>
      </c>
      <c r="B5" s="25" t="n">
        <v>35200</v>
      </c>
      <c r="C5" s="25" t="n">
        <v>37100</v>
      </c>
      <c r="D5" s="25" t="n">
        <v>39200</v>
      </c>
    </row>
    <row r="6">
      <c r="A6" t="inlineStr">
        <is>
          <t>Revenue growth CAGR</t>
        </is>
      </c>
      <c r="B6" s="13" t="n">
        <v>-0.005</v>
      </c>
      <c r="C6" s="13" t="n">
        <v>0.02</v>
      </c>
      <c r="D6" s="13" t="n">
        <v>0.04</v>
      </c>
    </row>
    <row r="7">
      <c r="A7" t="inlineStr">
        <is>
          <t>Adj EBITDA margin</t>
        </is>
      </c>
      <c r="B7" s="13" t="n">
        <v>0.33</v>
      </c>
      <c r="C7" s="13" t="n">
        <v>0.348</v>
      </c>
      <c r="D7" s="13" t="n">
        <v>0.365</v>
      </c>
    </row>
    <row r="8">
      <c r="A8" s="6" t="inlineStr">
        <is>
          <t>EBITDA (€m)</t>
        </is>
      </c>
      <c r="B8" s="6">
        <f>B5*B7</f>
        <v/>
      </c>
      <c r="C8" s="6">
        <f>C5*C7</f>
        <v/>
      </c>
      <c r="D8" s="6">
        <f>D5*D7</f>
        <v/>
      </c>
    </row>
    <row r="9">
      <c r="A9" t="inlineStr">
        <is>
          <t>Capex / sales</t>
        </is>
      </c>
      <c r="B9" s="13" t="n">
        <v>0.13</v>
      </c>
      <c r="C9" s="13" t="n">
        <v>0.12</v>
      </c>
      <c r="D9" s="13" t="n">
        <v>0.11</v>
      </c>
    </row>
    <row r="10">
      <c r="A10" t="inlineStr">
        <is>
          <t>Capex (€m)</t>
        </is>
      </c>
      <c r="B10">
        <f>B5*B9</f>
        <v/>
      </c>
      <c r="C10">
        <f>C5*C9</f>
        <v/>
      </c>
      <c r="D10">
        <f>D5*D9</f>
        <v/>
      </c>
    </row>
    <row r="11">
      <c r="A11" s="6" t="inlineStr">
        <is>
          <t>FCF (€m)</t>
        </is>
      </c>
      <c r="B11" s="6">
        <f>B8-B10-1500</f>
        <v/>
      </c>
      <c r="C11" s="6">
        <f>C8-C10-1500</f>
        <v/>
      </c>
      <c r="D11" s="6">
        <f>D8-D10-1500</f>
        <v/>
      </c>
    </row>
    <row r="12">
      <c r="A12" t="inlineStr">
        <is>
          <t>Net debt FY28E</t>
        </is>
      </c>
      <c r="B12" s="25" t="n">
        <v>25000</v>
      </c>
      <c r="C12" s="25" t="n">
        <v>18000</v>
      </c>
      <c r="D12" s="25" t="n">
        <v>10000</v>
      </c>
    </row>
    <row r="13">
      <c r="A13" t="inlineStr">
        <is>
          <t>Net debt / EBITDAaL</t>
        </is>
      </c>
      <c r="B13" s="26">
        <f>B12/B8</f>
        <v/>
      </c>
      <c r="C13" s="26">
        <f>C12/C8</f>
        <v/>
      </c>
      <c r="D13" s="26">
        <f>D12/D8</f>
        <v/>
      </c>
    </row>
    <row r="14">
      <c r="A14" s="6" t="inlineStr">
        <is>
          <t>EPS (€)</t>
        </is>
      </c>
      <c r="B14" s="27" t="n">
        <v>0.2</v>
      </c>
      <c r="C14" s="27" t="n">
        <v>0.32</v>
      </c>
      <c r="D14" s="27" t="n">
        <v>0.45</v>
      </c>
    </row>
    <row r="15">
      <c r="A15" t="inlineStr">
        <is>
          <t>DPS (€) by 2028</t>
        </is>
      </c>
      <c r="B15" s="25" t="n">
        <v>0.16</v>
      </c>
      <c r="C15" s="25" t="n">
        <v>0.2</v>
      </c>
      <c r="D15" s="25" t="n">
        <v>0.26</v>
      </c>
    </row>
    <row r="16">
      <c r="A16" s="6" t="inlineStr">
        <is>
          <t>Implied PT (€)</t>
        </is>
      </c>
      <c r="B16" s="27" t="n">
        <v>3.3</v>
      </c>
      <c r="C16" s="27" t="n">
        <v>4.1</v>
      </c>
      <c r="D16" s="27" t="n">
        <v>5.2</v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TEF v2 — DCF Inputs (anchored on FY25A + 2026 guidance)</t>
        </is>
      </c>
    </row>
    <row r="3">
      <c r="A3" s="2" t="inlineStr">
        <is>
          <t>Market data inputs (verified 2026-05-06)</t>
        </is>
      </c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</row>
    <row r="4">
      <c r="A4" t="inlineStr">
        <is>
          <t>Share price (€)</t>
        </is>
      </c>
      <c r="B4" s="25" t="n">
        <v>3.8</v>
      </c>
    </row>
    <row r="5">
      <c r="A5" t="inlineStr">
        <is>
          <t>Diluted shares (m)</t>
        </is>
      </c>
      <c r="B5" s="25" t="n">
        <v>5638</v>
      </c>
    </row>
    <row r="6">
      <c r="A6" t="inlineStr">
        <is>
          <t>Market cap (€B)</t>
        </is>
      </c>
      <c r="B6">
        <f>B4*B5/1000</f>
        <v/>
      </c>
    </row>
    <row r="7">
      <c r="A7" t="inlineStr">
        <is>
          <t>Net financial debt (€B)</t>
        </is>
      </c>
      <c r="B7" s="25" t="n">
        <v>26.824</v>
      </c>
    </row>
    <row r="8">
      <c r="A8" t="inlineStr">
        <is>
          <t>Perpetual hybrids (€B)</t>
        </is>
      </c>
      <c r="B8" s="25" t="n">
        <v>4.6</v>
      </c>
    </row>
    <row r="9">
      <c r="A9" t="inlineStr">
        <is>
          <t>Minority interest (€B)</t>
        </is>
      </c>
      <c r="B9" s="25" t="n">
        <v>2.5</v>
      </c>
    </row>
    <row r="10">
      <c r="A10" t="inlineStr">
        <is>
          <t>Pension underfunding (€B)</t>
        </is>
      </c>
      <c r="B10" s="25" t="n">
        <v>1</v>
      </c>
    </row>
    <row r="11">
      <c r="A11" t="inlineStr">
        <is>
          <t>Beta (5y)</t>
        </is>
      </c>
      <c r="B11" s="25" t="n">
        <v>0.85</v>
      </c>
    </row>
    <row r="12">
      <c r="A12" t="inlineStr">
        <is>
          <t>Risk-free (10y BTP, %)</t>
        </is>
      </c>
      <c r="B12" s="28" t="n">
        <v>0.035</v>
      </c>
    </row>
    <row r="13">
      <c r="A13" t="inlineStr">
        <is>
          <t>Equity risk premium (%)</t>
        </is>
      </c>
      <c r="B13" s="28" t="n">
        <v>0.055</v>
      </c>
    </row>
    <row r="14">
      <c r="A14" t="inlineStr">
        <is>
          <t>Pre-tax cost of debt (%)</t>
        </is>
      </c>
      <c r="B14" s="28" t="n">
        <v>0.052</v>
      </c>
    </row>
    <row r="15">
      <c r="A15" t="inlineStr">
        <is>
          <t>Tax rate (%)</t>
        </is>
      </c>
      <c r="B15" s="28" t="n">
        <v>0.22</v>
      </c>
    </row>
    <row r="16">
      <c r="A16" t="inlineStr">
        <is>
          <t>Debt / capital target (%)</t>
        </is>
      </c>
      <c r="B16" s="28" t="n">
        <v>0.5</v>
      </c>
    </row>
    <row r="18">
      <c r="A18" s="2" t="inlineStr">
        <is>
          <t>WACC build</t>
        </is>
      </c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</row>
    <row r="19">
      <c r="A19" t="inlineStr">
        <is>
          <t>Cost of equity (CAPM)</t>
        </is>
      </c>
      <c r="B19" s="29">
        <f>B12+B11*B13</f>
        <v/>
      </c>
    </row>
    <row r="20">
      <c r="A20" t="inlineStr">
        <is>
          <t>After-tax cost of debt</t>
        </is>
      </c>
      <c r="B20" s="29">
        <f>B14*(1-B15)</f>
        <v/>
      </c>
    </row>
    <row r="21">
      <c r="A21" s="6" t="inlineStr">
        <is>
          <t>WACC (E/D weighted)</t>
        </is>
      </c>
      <c r="B21" s="30">
        <f>(1-B16)*B19+B16*B20</f>
        <v/>
      </c>
    </row>
    <row r="22">
      <c r="A22" t="inlineStr">
        <is>
          <t>WACC override (used for valuation)</t>
        </is>
      </c>
      <c r="B22" s="28" t="n">
        <v>0.08500000000000001</v>
      </c>
    </row>
    <row r="23">
      <c r="A23" t="inlineStr">
        <is>
          <t>Terminal growth (g)</t>
        </is>
      </c>
      <c r="B23" s="28" t="n">
        <v>0.015</v>
      </c>
    </row>
    <row r="25">
      <c r="A25" s="2" t="inlineStr">
        <is>
          <t>Unlevered FCF anchor</t>
        </is>
      </c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t="inlineStr">
        <is>
          <t>FY26E FCF (Transform &amp; Grow guidance)</t>
        </is>
      </c>
      <c r="B26" s="25" t="n">
        <v>3000</v>
      </c>
    </row>
    <row r="27">
      <c r="A27" t="inlineStr">
        <is>
          <t>FY27E FCF growth</t>
        </is>
      </c>
      <c r="B27" s="28" t="n">
        <v>0.07000000000000001</v>
      </c>
    </row>
    <row r="28">
      <c r="A28" t="inlineStr">
        <is>
          <t>Plan period (FY28-30) growth</t>
        </is>
      </c>
      <c r="B28" s="28" t="n">
        <v>0.075</v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" t="inlineStr">
        <is>
          <t>TEF v2 — DCF (anchored on €3bn FCF guidance + Transform &amp; Grow trajectory)</t>
        </is>
      </c>
    </row>
    <row r="3">
      <c r="B3" s="2" t="inlineStr">
        <is>
          <t>FY26E</t>
        </is>
      </c>
      <c r="C3" s="2" t="inlineStr">
        <is>
          <t>FY27E</t>
        </is>
      </c>
      <c r="D3" s="2" t="inlineStr">
        <is>
          <t>FY28E</t>
        </is>
      </c>
      <c r="E3" s="2" t="inlineStr">
        <is>
          <t>FY29E</t>
        </is>
      </c>
      <c r="F3" s="2" t="inlineStr">
        <is>
          <t>FY30E</t>
        </is>
      </c>
      <c r="G3" s="2" t="inlineStr">
        <is>
          <t>Terminal</t>
        </is>
      </c>
    </row>
    <row r="5">
      <c r="A5" s="6" t="inlineStr">
        <is>
          <t>Unlevered FCF (€m)</t>
        </is>
      </c>
      <c r="B5" s="15">
        <f>DCF_Inputs!B26</f>
        <v/>
      </c>
      <c r="C5" s="15">
        <f>B5*(1+DCF_Inputs!B27)</f>
        <v/>
      </c>
      <c r="D5" s="15">
        <f>C5*(1+DCF_Inputs!B28)</f>
        <v/>
      </c>
      <c r="E5" s="15">
        <f>D5*(1+DCF_Inputs!B28)</f>
        <v/>
      </c>
      <c r="F5" s="15">
        <f>E5*(1+DCF_Inputs!B28)</f>
        <v/>
      </c>
      <c r="G5" s="15">
        <f>F5*(1+DCF_Inputs!B23)</f>
        <v/>
      </c>
      <c r="H5" s="16" t="n"/>
      <c r="I5" s="16" t="n"/>
    </row>
    <row r="6">
      <c r="A6" t="inlineStr">
        <is>
          <t>WACC</t>
        </is>
      </c>
      <c r="B6" s="29">
        <f>DCF_Inputs!B22</f>
        <v/>
      </c>
      <c r="C6" s="29">
        <f>DCF_Inputs!B22</f>
        <v/>
      </c>
      <c r="D6" s="29">
        <f>DCF_Inputs!B22</f>
        <v/>
      </c>
      <c r="E6" s="29">
        <f>DCF_Inputs!B22</f>
        <v/>
      </c>
      <c r="F6" s="29">
        <f>DCF_Inputs!B22</f>
        <v/>
      </c>
      <c r="G6" s="29">
        <f>DCF_Inputs!B22</f>
        <v/>
      </c>
    </row>
    <row r="7">
      <c r="A7" t="inlineStr">
        <is>
          <t>Period</t>
        </is>
      </c>
      <c r="B7" s="25" t="n">
        <v>1</v>
      </c>
      <c r="C7" s="25" t="n">
        <v>2</v>
      </c>
      <c r="D7" s="25" t="n">
        <v>3</v>
      </c>
      <c r="E7" s="25" t="n">
        <v>4</v>
      </c>
      <c r="F7" s="25" t="n">
        <v>5</v>
      </c>
    </row>
    <row r="8">
      <c r="A8" t="inlineStr">
        <is>
          <t>Discount factor</t>
        </is>
      </c>
      <c r="B8" s="31">
        <f>1/(1+B6)^B7</f>
        <v/>
      </c>
      <c r="C8" s="31">
        <f>1/(1+C6)^C7</f>
        <v/>
      </c>
      <c r="D8" s="31">
        <f>1/(1+D6)^D7</f>
        <v/>
      </c>
      <c r="E8" s="31">
        <f>1/(1+E6)^E7</f>
        <v/>
      </c>
      <c r="F8" s="31">
        <f>1/(1+F6)^F7</f>
        <v/>
      </c>
    </row>
    <row r="9">
      <c r="A9" s="6" t="inlineStr">
        <is>
          <t>PV of FCF (€m)</t>
        </is>
      </c>
      <c r="B9" s="15">
        <f>B5*B8</f>
        <v/>
      </c>
      <c r="C9" s="15">
        <f>C5*C8</f>
        <v/>
      </c>
      <c r="D9" s="15">
        <f>D5*D8</f>
        <v/>
      </c>
      <c r="E9" s="15">
        <f>E5*E8</f>
        <v/>
      </c>
      <c r="F9" s="15">
        <f>F5*F8</f>
        <v/>
      </c>
      <c r="G9" s="16" t="n"/>
      <c r="H9" s="16" t="n"/>
      <c r="I9" s="16" t="n"/>
    </row>
    <row r="11">
      <c r="A11" s="2" t="inlineStr">
        <is>
          <t>Terminal value</t>
        </is>
      </c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</row>
    <row r="12">
      <c r="A12" t="inlineStr">
        <is>
          <t>Terminal year FCF</t>
        </is>
      </c>
      <c r="B12" s="16">
        <f>G5</f>
        <v/>
      </c>
      <c r="C12" s="16" t="n"/>
      <c r="D12" s="16" t="n"/>
      <c r="E12" s="16" t="n"/>
      <c r="F12" s="16" t="n"/>
      <c r="G12" s="16" t="n"/>
      <c r="H12" s="16" t="n"/>
      <c r="I12" s="16" t="n"/>
    </row>
    <row r="13">
      <c r="A13" t="inlineStr">
        <is>
          <t>Terminal growth (g)</t>
        </is>
      </c>
      <c r="B13" s="29">
        <f>DCF_Inputs!B23</f>
        <v/>
      </c>
    </row>
    <row r="14">
      <c r="A14" t="inlineStr">
        <is>
          <t>WACC</t>
        </is>
      </c>
      <c r="B14" s="29">
        <f>DCF_Inputs!B22</f>
        <v/>
      </c>
    </row>
    <row r="15">
      <c r="A15" t="inlineStr">
        <is>
          <t>Terminal value (Gordon)</t>
        </is>
      </c>
      <c r="B15" s="15">
        <f>B12/(B14-B13)</f>
        <v/>
      </c>
      <c r="C15" s="16" t="n"/>
      <c r="D15" s="16" t="n"/>
      <c r="E15" s="16" t="n"/>
      <c r="F15" s="16" t="n"/>
      <c r="G15" s="16" t="n"/>
      <c r="H15" s="16" t="n"/>
      <c r="I15" s="16" t="n"/>
    </row>
    <row r="16">
      <c r="A16" t="inlineStr">
        <is>
          <t>PV of terminal value</t>
        </is>
      </c>
      <c r="B16" s="16">
        <f>B15*F8</f>
        <v/>
      </c>
      <c r="C16" s="16" t="n"/>
      <c r="D16" s="16" t="n"/>
      <c r="E16" s="16" t="n"/>
      <c r="F16" s="16" t="n"/>
      <c r="G16" s="16" t="n"/>
      <c r="H16" s="16" t="n"/>
      <c r="I16" s="16" t="n"/>
    </row>
    <row r="18">
      <c r="A18" s="2" t="inlineStr">
        <is>
          <t>Enterprise value &amp; equity bridge</t>
        </is>
      </c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</row>
    <row r="19">
      <c r="A19" t="inlineStr">
        <is>
          <t>Sum PV of forecast FCFs</t>
        </is>
      </c>
      <c r="B19" s="16">
        <f>SUM(B9:F9)</f>
        <v/>
      </c>
      <c r="C19" s="16" t="n"/>
      <c r="D19" s="16" t="n"/>
      <c r="E19" s="16" t="n"/>
      <c r="F19" s="16" t="n"/>
      <c r="G19" s="16" t="n"/>
      <c r="H19" s="16" t="n"/>
      <c r="I19" s="16" t="n"/>
    </row>
    <row r="20">
      <c r="A20" t="inlineStr">
        <is>
          <t>PV of terminal value</t>
        </is>
      </c>
      <c r="B20" s="16">
        <f>B16</f>
        <v/>
      </c>
      <c r="C20" s="16" t="n"/>
      <c r="D20" s="16" t="n"/>
      <c r="E20" s="16" t="n"/>
      <c r="F20" s="16" t="n"/>
      <c r="G20" s="16" t="n"/>
      <c r="H20" s="16" t="n"/>
      <c r="I20" s="16" t="n"/>
    </row>
    <row r="21">
      <c r="A21" s="6" t="inlineStr">
        <is>
          <t>Enterprise value (€m)</t>
        </is>
      </c>
      <c r="B21" s="17">
        <f>B19+B20</f>
        <v/>
      </c>
      <c r="C21" s="16" t="n"/>
      <c r="D21" s="16" t="n"/>
      <c r="E21" s="16" t="n"/>
      <c r="F21" s="16" t="n"/>
      <c r="G21" s="16" t="n"/>
      <c r="H21" s="16" t="n"/>
      <c r="I21" s="16" t="n"/>
    </row>
    <row r="23">
      <c r="A23" t="inlineStr">
        <is>
          <t>less: Net debt (€m)</t>
        </is>
      </c>
      <c r="B23" s="16">
        <f>-DCF_Inputs!B7*1000</f>
        <v/>
      </c>
      <c r="C23" s="16" t="n"/>
      <c r="D23" s="16" t="n"/>
      <c r="E23" s="16" t="n"/>
      <c r="F23" s="16" t="n"/>
      <c r="G23" s="16" t="n"/>
      <c r="H23" s="16" t="n"/>
      <c r="I23" s="16" t="n"/>
    </row>
    <row r="24">
      <c r="A24" t="inlineStr">
        <is>
          <t>less: Perpetual hybrids</t>
        </is>
      </c>
      <c r="B24" s="16">
        <f>-DCF_Inputs!B8*1000</f>
        <v/>
      </c>
      <c r="C24" s="16" t="n"/>
      <c r="D24" s="16" t="n"/>
      <c r="E24" s="16" t="n"/>
      <c r="F24" s="16" t="n"/>
      <c r="G24" s="16" t="n"/>
      <c r="H24" s="16" t="n"/>
      <c r="I24" s="16" t="n"/>
    </row>
    <row r="25">
      <c r="A25" t="inlineStr">
        <is>
          <t>less: Minority interest</t>
        </is>
      </c>
      <c r="B25" s="16">
        <f>-DCF_Inputs!B9*1000</f>
        <v/>
      </c>
      <c r="C25" s="16" t="n"/>
      <c r="D25" s="16" t="n"/>
      <c r="E25" s="16" t="n"/>
      <c r="F25" s="16" t="n"/>
      <c r="G25" s="16" t="n"/>
      <c r="H25" s="16" t="n"/>
      <c r="I25" s="16" t="n"/>
    </row>
    <row r="26">
      <c r="A26" t="inlineStr">
        <is>
          <t>less: Pension underfunding</t>
        </is>
      </c>
      <c r="B26" s="16">
        <f>-DCF_Inputs!B10*1000</f>
        <v/>
      </c>
      <c r="C26" s="16" t="n"/>
      <c r="D26" s="16" t="n"/>
      <c r="E26" s="16" t="n"/>
      <c r="F26" s="16" t="n"/>
      <c r="G26" s="16" t="n"/>
      <c r="H26" s="16" t="n"/>
      <c r="I26" s="16" t="n"/>
    </row>
    <row r="27">
      <c r="A27" s="6" t="inlineStr">
        <is>
          <t>Equity value (€m)</t>
        </is>
      </c>
      <c r="B27" s="15">
        <f>SUM(B21:B26)</f>
        <v/>
      </c>
      <c r="C27" s="16" t="n"/>
      <c r="D27" s="16" t="n"/>
      <c r="E27" s="16" t="n"/>
      <c r="F27" s="16" t="n"/>
      <c r="G27" s="16" t="n"/>
      <c r="H27" s="16" t="n"/>
      <c r="I27" s="16" t="n"/>
    </row>
    <row r="28">
      <c r="A28" t="inlineStr">
        <is>
          <t>Diluted shares (m)</t>
        </is>
      </c>
      <c r="B28">
        <f>DCF_Inputs!B5</f>
        <v/>
      </c>
    </row>
    <row r="29">
      <c r="A29" s="6" t="inlineStr">
        <is>
          <t>Implied share price (€)</t>
        </is>
      </c>
      <c r="B29" s="32">
        <f>B27/B28</f>
        <v/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TEF v2 — DCF Sensitivity: WACC × Terminal Growth (per share, €)</t>
        </is>
      </c>
    </row>
    <row r="3">
      <c r="A3" s="33" t="inlineStr">
        <is>
          <t>WACC ↓ / TV g →</t>
        </is>
      </c>
      <c r="B3" s="34" t="n">
        <v>0.005</v>
      </c>
      <c r="C3" s="34" t="n">
        <v>0.01</v>
      </c>
      <c r="D3" s="34" t="n">
        <v>0.015</v>
      </c>
      <c r="E3" s="34" t="n">
        <v>0.02</v>
      </c>
      <c r="F3" s="34" t="n">
        <v>0.025</v>
      </c>
    </row>
    <row r="4">
      <c r="A4" s="34" t="n">
        <v>0.075</v>
      </c>
      <c r="B4" s="35">
        <f>((DCF_Inputs!B26/(1+0.075)^1)+(DCF_Inputs!B26*(1+DCF_Inputs!B27)/(1+0.075)^2)+(DCF_Inputs!B26*(1+DCF_Inputs!B27)*(1+DCF_Inputs!B28)/(1+0.075)^3)+(DCF_Inputs!B26*(1+DCF_Inputs!B27)*(1+DCF_Inputs!B28)^2/(1+0.075)^4)+(DCF_Inputs!B26*(1+DCF_Inputs!B27)*(1+DCF_Inputs!B28)^3/(1+0.075)^5)+(DCF_Inputs!B26*(1+DCF_Inputs!B27)*(1+DCF_Inputs!B28)^3*(1+0.005)/(0.075-0.005))/((1+0.075)^5)-(DCF_Inputs!B7+DCF_Inputs!B8+DCF_Inputs!B9+DCF_Inputs!B10)*1000)/DCF_Inputs!B5</f>
        <v/>
      </c>
      <c r="C4" s="35">
        <f>((DCF_Inputs!B26/(1+0.075)^1)+(DCF_Inputs!B26*(1+DCF_Inputs!B27)/(1+0.075)^2)+(DCF_Inputs!B26*(1+DCF_Inputs!B27)*(1+DCF_Inputs!B28)/(1+0.075)^3)+(DCF_Inputs!B26*(1+DCF_Inputs!B27)*(1+DCF_Inputs!B28)^2/(1+0.075)^4)+(DCF_Inputs!B26*(1+DCF_Inputs!B27)*(1+DCF_Inputs!B28)^3/(1+0.075)^5)+(DCF_Inputs!B26*(1+DCF_Inputs!B27)*(1+DCF_Inputs!B28)^3*(1+0.01)/(0.075-0.01))/((1+0.075)^5)-(DCF_Inputs!B7+DCF_Inputs!B8+DCF_Inputs!B9+DCF_Inputs!B10)*1000)/DCF_Inputs!B5</f>
        <v/>
      </c>
      <c r="D4" s="35">
        <f>((DCF_Inputs!B26/(1+0.075)^1)+(DCF_Inputs!B26*(1+DCF_Inputs!B27)/(1+0.075)^2)+(DCF_Inputs!B26*(1+DCF_Inputs!B27)*(1+DCF_Inputs!B28)/(1+0.075)^3)+(DCF_Inputs!B26*(1+DCF_Inputs!B27)*(1+DCF_Inputs!B28)^2/(1+0.075)^4)+(DCF_Inputs!B26*(1+DCF_Inputs!B27)*(1+DCF_Inputs!B28)^3/(1+0.075)^5)+(DCF_Inputs!B26*(1+DCF_Inputs!B27)*(1+DCF_Inputs!B28)^3*(1+0.015)/(0.075-0.015))/((1+0.075)^5)-(DCF_Inputs!B7+DCF_Inputs!B8+DCF_Inputs!B9+DCF_Inputs!B10)*1000)/DCF_Inputs!B5</f>
        <v/>
      </c>
      <c r="E4" s="35">
        <f>((DCF_Inputs!B26/(1+0.075)^1)+(DCF_Inputs!B26*(1+DCF_Inputs!B27)/(1+0.075)^2)+(DCF_Inputs!B26*(1+DCF_Inputs!B27)*(1+DCF_Inputs!B28)/(1+0.075)^3)+(DCF_Inputs!B26*(1+DCF_Inputs!B27)*(1+DCF_Inputs!B28)^2/(1+0.075)^4)+(DCF_Inputs!B26*(1+DCF_Inputs!B27)*(1+DCF_Inputs!B28)^3/(1+0.075)^5)+(DCF_Inputs!B26*(1+DCF_Inputs!B27)*(1+DCF_Inputs!B28)^3*(1+0.02)/(0.075-0.02))/((1+0.075)^5)-(DCF_Inputs!B7+DCF_Inputs!B8+DCF_Inputs!B9+DCF_Inputs!B10)*1000)/DCF_Inputs!B5</f>
        <v/>
      </c>
      <c r="F4" s="35">
        <f>((DCF_Inputs!B26/(1+0.075)^1)+(DCF_Inputs!B26*(1+DCF_Inputs!B27)/(1+0.075)^2)+(DCF_Inputs!B26*(1+DCF_Inputs!B27)*(1+DCF_Inputs!B28)/(1+0.075)^3)+(DCF_Inputs!B26*(1+DCF_Inputs!B27)*(1+DCF_Inputs!B28)^2/(1+0.075)^4)+(DCF_Inputs!B26*(1+DCF_Inputs!B27)*(1+DCF_Inputs!B28)^3/(1+0.075)^5)+(DCF_Inputs!B26*(1+DCF_Inputs!B27)*(1+DCF_Inputs!B28)^3*(1+0.025)/(0.075-0.025))/((1+0.075)^5)-(DCF_Inputs!B7+DCF_Inputs!B8+DCF_Inputs!B9+DCF_Inputs!B10)*1000)/DCF_Inputs!B5</f>
        <v/>
      </c>
    </row>
    <row r="5">
      <c r="A5" s="34" t="n">
        <v>0.08</v>
      </c>
      <c r="B5" s="35">
        <f>((DCF_Inputs!B26/(1+0.08)^1)+(DCF_Inputs!B26*(1+DCF_Inputs!B27)/(1+0.08)^2)+(DCF_Inputs!B26*(1+DCF_Inputs!B27)*(1+DCF_Inputs!B28)/(1+0.08)^3)+(DCF_Inputs!B26*(1+DCF_Inputs!B27)*(1+DCF_Inputs!B28)^2/(1+0.08)^4)+(DCF_Inputs!B26*(1+DCF_Inputs!B27)*(1+DCF_Inputs!B28)^3/(1+0.08)^5)+(DCF_Inputs!B26*(1+DCF_Inputs!B27)*(1+DCF_Inputs!B28)^3*(1+0.005)/(0.08-0.005))/((1+0.08)^5)-(DCF_Inputs!B7+DCF_Inputs!B8+DCF_Inputs!B9+DCF_Inputs!B10)*1000)/DCF_Inputs!B5</f>
        <v/>
      </c>
      <c r="C5" s="35">
        <f>((DCF_Inputs!B26/(1+0.08)^1)+(DCF_Inputs!B26*(1+DCF_Inputs!B27)/(1+0.08)^2)+(DCF_Inputs!B26*(1+DCF_Inputs!B27)*(1+DCF_Inputs!B28)/(1+0.08)^3)+(DCF_Inputs!B26*(1+DCF_Inputs!B27)*(1+DCF_Inputs!B28)^2/(1+0.08)^4)+(DCF_Inputs!B26*(1+DCF_Inputs!B27)*(1+DCF_Inputs!B28)^3/(1+0.08)^5)+(DCF_Inputs!B26*(1+DCF_Inputs!B27)*(1+DCF_Inputs!B28)^3*(1+0.01)/(0.08-0.01))/((1+0.08)^5)-(DCF_Inputs!B7+DCF_Inputs!B8+DCF_Inputs!B9+DCF_Inputs!B10)*1000)/DCF_Inputs!B5</f>
        <v/>
      </c>
      <c r="D5" s="35">
        <f>((DCF_Inputs!B26/(1+0.08)^1)+(DCF_Inputs!B26*(1+DCF_Inputs!B27)/(1+0.08)^2)+(DCF_Inputs!B26*(1+DCF_Inputs!B27)*(1+DCF_Inputs!B28)/(1+0.08)^3)+(DCF_Inputs!B26*(1+DCF_Inputs!B27)*(1+DCF_Inputs!B28)^2/(1+0.08)^4)+(DCF_Inputs!B26*(1+DCF_Inputs!B27)*(1+DCF_Inputs!B28)^3/(1+0.08)^5)+(DCF_Inputs!B26*(1+DCF_Inputs!B27)*(1+DCF_Inputs!B28)^3*(1+0.015)/(0.08-0.015))/((1+0.08)^5)-(DCF_Inputs!B7+DCF_Inputs!B8+DCF_Inputs!B9+DCF_Inputs!B10)*1000)/DCF_Inputs!B5</f>
        <v/>
      </c>
      <c r="E5" s="35">
        <f>((DCF_Inputs!B26/(1+0.08)^1)+(DCF_Inputs!B26*(1+DCF_Inputs!B27)/(1+0.08)^2)+(DCF_Inputs!B26*(1+DCF_Inputs!B27)*(1+DCF_Inputs!B28)/(1+0.08)^3)+(DCF_Inputs!B26*(1+DCF_Inputs!B27)*(1+DCF_Inputs!B28)^2/(1+0.08)^4)+(DCF_Inputs!B26*(1+DCF_Inputs!B27)*(1+DCF_Inputs!B28)^3/(1+0.08)^5)+(DCF_Inputs!B26*(1+DCF_Inputs!B27)*(1+DCF_Inputs!B28)^3*(1+0.02)/(0.08-0.02))/((1+0.08)^5)-(DCF_Inputs!B7+DCF_Inputs!B8+DCF_Inputs!B9+DCF_Inputs!B10)*1000)/DCF_Inputs!B5</f>
        <v/>
      </c>
      <c r="F5" s="35">
        <f>((DCF_Inputs!B26/(1+0.08)^1)+(DCF_Inputs!B26*(1+DCF_Inputs!B27)/(1+0.08)^2)+(DCF_Inputs!B26*(1+DCF_Inputs!B27)*(1+DCF_Inputs!B28)/(1+0.08)^3)+(DCF_Inputs!B26*(1+DCF_Inputs!B27)*(1+DCF_Inputs!B28)^2/(1+0.08)^4)+(DCF_Inputs!B26*(1+DCF_Inputs!B27)*(1+DCF_Inputs!B28)^3/(1+0.08)^5)+(DCF_Inputs!B26*(1+DCF_Inputs!B27)*(1+DCF_Inputs!B28)^3*(1+0.025)/(0.08-0.025))/((1+0.08)^5)-(DCF_Inputs!B7+DCF_Inputs!B8+DCF_Inputs!B9+DCF_Inputs!B10)*1000)/DCF_Inputs!B5</f>
        <v/>
      </c>
    </row>
    <row r="6">
      <c r="A6" s="34" t="n">
        <v>0.08500000000000001</v>
      </c>
      <c r="B6" s="35">
        <f>((DCF_Inputs!B26/(1+0.085)^1)+(DCF_Inputs!B26*(1+DCF_Inputs!B27)/(1+0.085)^2)+(DCF_Inputs!B26*(1+DCF_Inputs!B27)*(1+DCF_Inputs!B28)/(1+0.085)^3)+(DCF_Inputs!B26*(1+DCF_Inputs!B27)*(1+DCF_Inputs!B28)^2/(1+0.085)^4)+(DCF_Inputs!B26*(1+DCF_Inputs!B27)*(1+DCF_Inputs!B28)^3/(1+0.085)^5)+(DCF_Inputs!B26*(1+DCF_Inputs!B27)*(1+DCF_Inputs!B28)^3*(1+0.005)/(0.085-0.005))/((1+0.085)^5)-(DCF_Inputs!B7+DCF_Inputs!B8+DCF_Inputs!B9+DCF_Inputs!B10)*1000)/DCF_Inputs!B5</f>
        <v/>
      </c>
      <c r="C6" s="35">
        <f>((DCF_Inputs!B26/(1+0.085)^1)+(DCF_Inputs!B26*(1+DCF_Inputs!B27)/(1+0.085)^2)+(DCF_Inputs!B26*(1+DCF_Inputs!B27)*(1+DCF_Inputs!B28)/(1+0.085)^3)+(DCF_Inputs!B26*(1+DCF_Inputs!B27)*(1+DCF_Inputs!B28)^2/(1+0.085)^4)+(DCF_Inputs!B26*(1+DCF_Inputs!B27)*(1+DCF_Inputs!B28)^3/(1+0.085)^5)+(DCF_Inputs!B26*(1+DCF_Inputs!B27)*(1+DCF_Inputs!B28)^3*(1+0.01)/(0.085-0.01))/((1+0.085)^5)-(DCF_Inputs!B7+DCF_Inputs!B8+DCF_Inputs!B9+DCF_Inputs!B10)*1000)/DCF_Inputs!B5</f>
        <v/>
      </c>
      <c r="D6" s="36">
        <f>((DCF_Inputs!B26/(1+0.085)^1)+(DCF_Inputs!B26*(1+DCF_Inputs!B27)/(1+0.085)^2)+(DCF_Inputs!B26*(1+DCF_Inputs!B27)*(1+DCF_Inputs!B28)/(1+0.085)^3)+(DCF_Inputs!B26*(1+DCF_Inputs!B27)*(1+DCF_Inputs!B28)^2/(1+0.085)^4)+(DCF_Inputs!B26*(1+DCF_Inputs!B27)*(1+DCF_Inputs!B28)^3/(1+0.085)^5)+(DCF_Inputs!B26*(1+DCF_Inputs!B27)*(1+DCF_Inputs!B28)^3*(1+0.015)/(0.085-0.015))/((1+0.085)^5)-(DCF_Inputs!B7+DCF_Inputs!B8+DCF_Inputs!B9+DCF_Inputs!B10)*1000)/DCF_Inputs!B5</f>
        <v/>
      </c>
      <c r="E6" s="35">
        <f>((DCF_Inputs!B26/(1+0.085)^1)+(DCF_Inputs!B26*(1+DCF_Inputs!B27)/(1+0.085)^2)+(DCF_Inputs!B26*(1+DCF_Inputs!B27)*(1+DCF_Inputs!B28)/(1+0.085)^3)+(DCF_Inputs!B26*(1+DCF_Inputs!B27)*(1+DCF_Inputs!B28)^2/(1+0.085)^4)+(DCF_Inputs!B26*(1+DCF_Inputs!B27)*(1+DCF_Inputs!B28)^3/(1+0.085)^5)+(DCF_Inputs!B26*(1+DCF_Inputs!B27)*(1+DCF_Inputs!B28)^3*(1+0.02)/(0.085-0.02))/((1+0.085)^5)-(DCF_Inputs!B7+DCF_Inputs!B8+DCF_Inputs!B9+DCF_Inputs!B10)*1000)/DCF_Inputs!B5</f>
        <v/>
      </c>
      <c r="F6" s="35">
        <f>((DCF_Inputs!B26/(1+0.085)^1)+(DCF_Inputs!B26*(1+DCF_Inputs!B27)/(1+0.085)^2)+(DCF_Inputs!B26*(1+DCF_Inputs!B27)*(1+DCF_Inputs!B28)/(1+0.085)^3)+(DCF_Inputs!B26*(1+DCF_Inputs!B27)*(1+DCF_Inputs!B28)^2/(1+0.085)^4)+(DCF_Inputs!B26*(1+DCF_Inputs!B27)*(1+DCF_Inputs!B28)^3/(1+0.085)^5)+(DCF_Inputs!B26*(1+DCF_Inputs!B27)*(1+DCF_Inputs!B28)^3*(1+0.025)/(0.085-0.025))/((1+0.085)^5)-(DCF_Inputs!B7+DCF_Inputs!B8+DCF_Inputs!B9+DCF_Inputs!B10)*1000)/DCF_Inputs!B5</f>
        <v/>
      </c>
    </row>
    <row r="7">
      <c r="A7" s="34" t="n">
        <v>0.09</v>
      </c>
      <c r="B7" s="35">
        <f>((DCF_Inputs!B26/(1+0.09)^1)+(DCF_Inputs!B26*(1+DCF_Inputs!B27)/(1+0.09)^2)+(DCF_Inputs!B26*(1+DCF_Inputs!B27)*(1+DCF_Inputs!B28)/(1+0.09)^3)+(DCF_Inputs!B26*(1+DCF_Inputs!B27)*(1+DCF_Inputs!B28)^2/(1+0.09)^4)+(DCF_Inputs!B26*(1+DCF_Inputs!B27)*(1+DCF_Inputs!B28)^3/(1+0.09)^5)+(DCF_Inputs!B26*(1+DCF_Inputs!B27)*(1+DCF_Inputs!B28)^3*(1+0.005)/(0.09-0.005))/((1+0.09)^5)-(DCF_Inputs!B7+DCF_Inputs!B8+DCF_Inputs!B9+DCF_Inputs!B10)*1000)/DCF_Inputs!B5</f>
        <v/>
      </c>
      <c r="C7" s="35">
        <f>((DCF_Inputs!B26/(1+0.09)^1)+(DCF_Inputs!B26*(1+DCF_Inputs!B27)/(1+0.09)^2)+(DCF_Inputs!B26*(1+DCF_Inputs!B27)*(1+DCF_Inputs!B28)/(1+0.09)^3)+(DCF_Inputs!B26*(1+DCF_Inputs!B27)*(1+DCF_Inputs!B28)^2/(1+0.09)^4)+(DCF_Inputs!B26*(1+DCF_Inputs!B27)*(1+DCF_Inputs!B28)^3/(1+0.09)^5)+(DCF_Inputs!B26*(1+DCF_Inputs!B27)*(1+DCF_Inputs!B28)^3*(1+0.01)/(0.09-0.01))/((1+0.09)^5)-(DCF_Inputs!B7+DCF_Inputs!B8+DCF_Inputs!B9+DCF_Inputs!B10)*1000)/DCF_Inputs!B5</f>
        <v/>
      </c>
      <c r="D7" s="35">
        <f>((DCF_Inputs!B26/(1+0.09)^1)+(DCF_Inputs!B26*(1+DCF_Inputs!B27)/(1+0.09)^2)+(DCF_Inputs!B26*(1+DCF_Inputs!B27)*(1+DCF_Inputs!B28)/(1+0.09)^3)+(DCF_Inputs!B26*(1+DCF_Inputs!B27)*(1+DCF_Inputs!B28)^2/(1+0.09)^4)+(DCF_Inputs!B26*(1+DCF_Inputs!B27)*(1+DCF_Inputs!B28)^3/(1+0.09)^5)+(DCF_Inputs!B26*(1+DCF_Inputs!B27)*(1+DCF_Inputs!B28)^3*(1+0.015)/(0.09-0.015))/((1+0.09)^5)-(DCF_Inputs!B7+DCF_Inputs!B8+DCF_Inputs!B9+DCF_Inputs!B10)*1000)/DCF_Inputs!B5</f>
        <v/>
      </c>
      <c r="E7" s="35">
        <f>((DCF_Inputs!B26/(1+0.09)^1)+(DCF_Inputs!B26*(1+DCF_Inputs!B27)/(1+0.09)^2)+(DCF_Inputs!B26*(1+DCF_Inputs!B27)*(1+DCF_Inputs!B28)/(1+0.09)^3)+(DCF_Inputs!B26*(1+DCF_Inputs!B27)*(1+DCF_Inputs!B28)^2/(1+0.09)^4)+(DCF_Inputs!B26*(1+DCF_Inputs!B27)*(1+DCF_Inputs!B28)^3/(1+0.09)^5)+(DCF_Inputs!B26*(1+DCF_Inputs!B27)*(1+DCF_Inputs!B28)^3*(1+0.02)/(0.09-0.02))/((1+0.09)^5)-(DCF_Inputs!B7+DCF_Inputs!B8+DCF_Inputs!B9+DCF_Inputs!B10)*1000)/DCF_Inputs!B5</f>
        <v/>
      </c>
      <c r="F7" s="35">
        <f>((DCF_Inputs!B26/(1+0.09)^1)+(DCF_Inputs!B26*(1+DCF_Inputs!B27)/(1+0.09)^2)+(DCF_Inputs!B26*(1+DCF_Inputs!B27)*(1+DCF_Inputs!B28)/(1+0.09)^3)+(DCF_Inputs!B26*(1+DCF_Inputs!B27)*(1+DCF_Inputs!B28)^2/(1+0.09)^4)+(DCF_Inputs!B26*(1+DCF_Inputs!B27)*(1+DCF_Inputs!B28)^3/(1+0.09)^5)+(DCF_Inputs!B26*(1+DCF_Inputs!B27)*(1+DCF_Inputs!B28)^3*(1+0.025)/(0.09-0.025))/((1+0.09)^5)-(DCF_Inputs!B7+DCF_Inputs!B8+DCF_Inputs!B9+DCF_Inputs!B10)*1000)/DCF_Inputs!B5</f>
        <v/>
      </c>
    </row>
    <row r="8">
      <c r="A8" s="34" t="n">
        <v>0.095</v>
      </c>
      <c r="B8" s="35">
        <f>((DCF_Inputs!B26/(1+0.095)^1)+(DCF_Inputs!B26*(1+DCF_Inputs!B27)/(1+0.095)^2)+(DCF_Inputs!B26*(1+DCF_Inputs!B27)*(1+DCF_Inputs!B28)/(1+0.095)^3)+(DCF_Inputs!B26*(1+DCF_Inputs!B27)*(1+DCF_Inputs!B28)^2/(1+0.095)^4)+(DCF_Inputs!B26*(1+DCF_Inputs!B27)*(1+DCF_Inputs!B28)^3/(1+0.095)^5)+(DCF_Inputs!B26*(1+DCF_Inputs!B27)*(1+DCF_Inputs!B28)^3*(1+0.005)/(0.095-0.005))/((1+0.095)^5)-(DCF_Inputs!B7+DCF_Inputs!B8+DCF_Inputs!B9+DCF_Inputs!B10)*1000)/DCF_Inputs!B5</f>
        <v/>
      </c>
      <c r="C8" s="35">
        <f>((DCF_Inputs!B26/(1+0.095)^1)+(DCF_Inputs!B26*(1+DCF_Inputs!B27)/(1+0.095)^2)+(DCF_Inputs!B26*(1+DCF_Inputs!B27)*(1+DCF_Inputs!B28)/(1+0.095)^3)+(DCF_Inputs!B26*(1+DCF_Inputs!B27)*(1+DCF_Inputs!B28)^2/(1+0.095)^4)+(DCF_Inputs!B26*(1+DCF_Inputs!B27)*(1+DCF_Inputs!B28)^3/(1+0.095)^5)+(DCF_Inputs!B26*(1+DCF_Inputs!B27)*(1+DCF_Inputs!B28)^3*(1+0.01)/(0.095-0.01))/((1+0.095)^5)-(DCF_Inputs!B7+DCF_Inputs!B8+DCF_Inputs!B9+DCF_Inputs!B10)*1000)/DCF_Inputs!B5</f>
        <v/>
      </c>
      <c r="D8" s="35">
        <f>((DCF_Inputs!B26/(1+0.095)^1)+(DCF_Inputs!B26*(1+DCF_Inputs!B27)/(1+0.095)^2)+(DCF_Inputs!B26*(1+DCF_Inputs!B27)*(1+DCF_Inputs!B28)/(1+0.095)^3)+(DCF_Inputs!B26*(1+DCF_Inputs!B27)*(1+DCF_Inputs!B28)^2/(1+0.095)^4)+(DCF_Inputs!B26*(1+DCF_Inputs!B27)*(1+DCF_Inputs!B28)^3/(1+0.095)^5)+(DCF_Inputs!B26*(1+DCF_Inputs!B27)*(1+DCF_Inputs!B28)^3*(1+0.015)/(0.095-0.015))/((1+0.095)^5)-(DCF_Inputs!B7+DCF_Inputs!B8+DCF_Inputs!B9+DCF_Inputs!B10)*1000)/DCF_Inputs!B5</f>
        <v/>
      </c>
      <c r="E8" s="35">
        <f>((DCF_Inputs!B26/(1+0.095)^1)+(DCF_Inputs!B26*(1+DCF_Inputs!B27)/(1+0.095)^2)+(DCF_Inputs!B26*(1+DCF_Inputs!B27)*(1+DCF_Inputs!B28)/(1+0.095)^3)+(DCF_Inputs!B26*(1+DCF_Inputs!B27)*(1+DCF_Inputs!B28)^2/(1+0.095)^4)+(DCF_Inputs!B26*(1+DCF_Inputs!B27)*(1+DCF_Inputs!B28)^3/(1+0.095)^5)+(DCF_Inputs!B26*(1+DCF_Inputs!B27)*(1+DCF_Inputs!B28)^3*(1+0.02)/(0.095-0.02))/((1+0.095)^5)-(DCF_Inputs!B7+DCF_Inputs!B8+DCF_Inputs!B9+DCF_Inputs!B10)*1000)/DCF_Inputs!B5</f>
        <v/>
      </c>
      <c r="F8" s="35">
        <f>((DCF_Inputs!B26/(1+0.095)^1)+(DCF_Inputs!B26*(1+DCF_Inputs!B27)/(1+0.095)^2)+(DCF_Inputs!B26*(1+DCF_Inputs!B27)*(1+DCF_Inputs!B28)/(1+0.095)^3)+(DCF_Inputs!B26*(1+DCF_Inputs!B27)*(1+DCF_Inputs!B28)^2/(1+0.095)^4)+(DCF_Inputs!B26*(1+DCF_Inputs!B27)*(1+DCF_Inputs!B28)^3/(1+0.095)^5)+(DCF_Inputs!B26*(1+DCF_Inputs!B27)*(1+DCF_Inputs!B28)^3*(1+0.025)/(0.095-0.025))/((1+0.095)^5)-(DCF_Inputs!B7+DCF_Inputs!B8+DCF_Inputs!B9+DCF_Inputs!B10)*1000)/DCF_Inputs!B5</f>
        <v/>
      </c>
    </row>
    <row r="11">
      <c r="A11" s="8" t="inlineStr">
        <is>
          <t>Centre cell (WACC 8.5%, TV g 1.5%) = base case. Highlighted blue.</t>
        </is>
      </c>
    </row>
  </sheetData>
  <mergeCells count="1">
    <mergeCell ref="A1:G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>
      <c r="A1" s="1" t="inlineStr">
        <is>
          <t>TEF v2 — European Telecom Peers (verified 2026-05-06)</t>
        </is>
      </c>
    </row>
    <row r="3">
      <c r="A3" s="6" t="inlineStr">
        <is>
          <t>Company</t>
        </is>
      </c>
      <c r="B3" s="2" t="inlineStr">
        <is>
          <t>Ticker</t>
        </is>
      </c>
      <c r="C3" s="2" t="inlineStr">
        <is>
          <t>FY</t>
        </is>
      </c>
      <c r="D3" s="2" t="inlineStr">
        <is>
          <t>Mkt Cap (B local)</t>
        </is>
      </c>
      <c r="E3" s="2" t="inlineStr">
        <is>
          <t>P/E</t>
        </is>
      </c>
      <c r="F3" s="2" t="inlineStr">
        <is>
          <t>P/B</t>
        </is>
      </c>
      <c r="G3" s="2" t="inlineStr">
        <is>
          <t>EV/EBITDA</t>
        </is>
      </c>
      <c r="H3" s="2" t="inlineStr">
        <is>
          <t>EV/Sales</t>
        </is>
      </c>
      <c r="I3" s="2" t="inlineStr">
        <is>
          <t>FCF Yld</t>
        </is>
      </c>
      <c r="J3" s="2" t="inlineStr">
        <is>
          <t>Div Yld</t>
        </is>
      </c>
      <c r="K3" s="2" t="inlineStr">
        <is>
          <t>ROE</t>
        </is>
      </c>
      <c r="L3" s="2" t="inlineStr">
        <is>
          <t>Net Margin</t>
        </is>
      </c>
      <c r="M3" s="2" t="inlineStr">
        <is>
          <t>ND/EBITDA</t>
        </is>
      </c>
    </row>
    <row r="4">
      <c r="A4" s="6" t="inlineStr">
        <is>
          <t>Telefónica (v2)</t>
        </is>
      </c>
      <c r="B4" s="37" t="inlineStr">
        <is>
          <t>TEF.MC</t>
        </is>
      </c>
      <c r="C4" s="38" t="n">
        <v>2025</v>
      </c>
      <c r="D4" s="37" t="n">
        <v>21.75</v>
      </c>
      <c r="E4" s="10" t="inlineStr">
        <is>
          <t>n/a</t>
        </is>
      </c>
      <c r="F4" s="39" t="n">
        <v>1.18</v>
      </c>
      <c r="G4" s="39" t="n">
        <v>4.5</v>
      </c>
      <c r="H4" s="40" t="n">
        <v>1.55</v>
      </c>
      <c r="I4" s="40" t="n">
        <v>0.095</v>
      </c>
      <c r="J4" s="40" t="n">
        <v>0.039</v>
      </c>
      <c r="K4" s="40" t="n">
        <v>0.02</v>
      </c>
      <c r="L4" s="37" t="n">
        <v>0.03</v>
      </c>
      <c r="M4" s="39" t="n">
        <v>2.25</v>
      </c>
    </row>
    <row r="5">
      <c r="A5" s="41" t="inlineStr">
        <is>
          <t>Orange</t>
        </is>
      </c>
      <c r="B5" s="5" t="inlineStr">
        <is>
          <t>ORA.PA</t>
        </is>
      </c>
      <c r="C5" s="42" t="n">
        <v>2024</v>
      </c>
      <c r="D5" s="5" t="n">
        <v>46.9</v>
      </c>
      <c r="E5" s="26" t="n">
        <v>20</v>
      </c>
      <c r="F5" s="26" t="n">
        <v>1.48</v>
      </c>
      <c r="G5" s="26" t="n">
        <v>3.44</v>
      </c>
      <c r="H5" s="43" t="n">
        <v>1.4</v>
      </c>
      <c r="I5" s="43" t="n">
        <v>0.074</v>
      </c>
      <c r="J5" s="43" t="n">
        <v>0.041</v>
      </c>
      <c r="K5" s="43" t="n">
        <v>0.074</v>
      </c>
      <c r="L5" s="5" t="n">
        <v>0.058</v>
      </c>
      <c r="M5" s="26" t="n">
        <v>-0.2</v>
      </c>
    </row>
    <row r="6">
      <c r="A6" s="41" t="inlineStr">
        <is>
          <t>Deutsche Telekom</t>
        </is>
      </c>
      <c r="B6" s="5" t="inlineStr">
        <is>
          <t>DTE.XETRA</t>
        </is>
      </c>
      <c r="C6" s="42" t="n">
        <v>2024</v>
      </c>
      <c r="D6" s="5" t="n">
        <v>140</v>
      </c>
      <c r="E6" s="26" t="n">
        <v>12.5</v>
      </c>
      <c r="F6" s="26" t="n">
        <v>2.16</v>
      </c>
      <c r="G6" s="26" t="n">
        <v>4.51</v>
      </c>
      <c r="H6" s="43" t="n">
        <v>1.8</v>
      </c>
      <c r="I6" s="43" t="n">
        <v>0.148</v>
      </c>
      <c r="J6" s="43" t="n">
        <v>0.04</v>
      </c>
      <c r="K6" s="43" t="n">
        <v>0.177</v>
      </c>
      <c r="L6" s="5" t="n">
        <v>0.097</v>
      </c>
      <c r="M6" s="26" t="n">
        <v>1.9</v>
      </c>
    </row>
    <row r="7">
      <c r="A7" s="41" t="inlineStr">
        <is>
          <t>Vodafone</t>
        </is>
      </c>
      <c r="B7" s="5" t="inlineStr">
        <is>
          <t>VOD.LSE</t>
        </is>
      </c>
      <c r="C7" s="42" t="n">
        <v>2025</v>
      </c>
      <c r="D7" s="10" t="inlineStr">
        <is>
          <t>n/a</t>
        </is>
      </c>
      <c r="E7" s="10" t="inlineStr">
        <is>
          <t>n/a</t>
        </is>
      </c>
      <c r="F7" s="10" t="inlineStr">
        <is>
          <t>n/a</t>
        </is>
      </c>
      <c r="G7" s="10" t="inlineStr">
        <is>
          <t>n/a</t>
        </is>
      </c>
      <c r="H7" s="10" t="inlineStr">
        <is>
          <t>n/a</t>
        </is>
      </c>
      <c r="I7" s="43" t="n">
        <v>0.003</v>
      </c>
      <c r="J7" s="43" t="n">
        <v>0.001</v>
      </c>
      <c r="K7" s="43" t="n">
        <v>-0.079</v>
      </c>
      <c r="L7" s="5" t="n">
        <v>-0.111</v>
      </c>
      <c r="M7" s="26" t="n">
        <v>2.5</v>
      </c>
    </row>
    <row r="8">
      <c r="A8" s="41" t="inlineStr">
        <is>
          <t>BT Group</t>
        </is>
      </c>
      <c r="B8" s="5" t="inlineStr">
        <is>
          <t>BT-A.LSE</t>
        </is>
      </c>
      <c r="C8" s="42" t="n">
        <v>2025</v>
      </c>
      <c r="D8" s="10" t="inlineStr">
        <is>
          <t>n/a</t>
        </is>
      </c>
      <c r="E8" s="10" t="inlineStr">
        <is>
          <t>n/a</t>
        </is>
      </c>
      <c r="F8" s="10" t="inlineStr">
        <is>
          <t>n/a</t>
        </is>
      </c>
      <c r="G8" s="10" t="inlineStr">
        <is>
          <t>n/a</t>
        </is>
      </c>
      <c r="H8" s="10" t="inlineStr">
        <is>
          <t>n/a</t>
        </is>
      </c>
      <c r="I8" s="43" t="n">
        <v>0.001</v>
      </c>
      <c r="J8" s="43" t="n">
        <v>0</v>
      </c>
      <c r="K8" s="43" t="n">
        <v>0.082</v>
      </c>
      <c r="L8" s="5" t="n">
        <v>0.052</v>
      </c>
      <c r="M8" s="26" t="n">
        <v>2.3</v>
      </c>
    </row>
    <row r="9">
      <c r="A9" s="41" t="inlineStr">
        <is>
          <t>Telia</t>
        </is>
      </c>
      <c r="B9" s="5" t="inlineStr">
        <is>
          <t>TELIA1.HE</t>
        </is>
      </c>
      <c r="C9" s="42" t="n">
        <v>2024</v>
      </c>
      <c r="D9" s="5" t="n">
        <v>16.8</v>
      </c>
      <c r="E9" s="26" t="n">
        <v>2.4</v>
      </c>
      <c r="F9" s="26" t="n">
        <v>0.3</v>
      </c>
      <c r="G9" s="26" t="n">
        <v>2.43</v>
      </c>
      <c r="H9" s="43" t="n">
        <v>1</v>
      </c>
      <c r="I9" s="43" t="n">
        <v>0.434</v>
      </c>
      <c r="J9" s="43" t="n">
        <v>0.467</v>
      </c>
      <c r="K9" s="43" t="n">
        <v>0.128</v>
      </c>
      <c r="L9" s="5" t="n">
        <v>0.079</v>
      </c>
      <c r="M9" s="26" t="n">
        <v>1.9</v>
      </c>
    </row>
    <row r="10">
      <c r="A10" s="41" t="inlineStr">
        <is>
          <t>Proximus</t>
        </is>
      </c>
      <c r="B10" s="5" t="inlineStr">
        <is>
          <t>PROX.BR</t>
        </is>
      </c>
      <c r="C10" s="42" t="n">
        <v>2024</v>
      </c>
      <c r="D10" s="5" t="n">
        <v>2.1</v>
      </c>
      <c r="E10" s="26" t="n">
        <v>4.8</v>
      </c>
      <c r="F10" s="26" t="n">
        <v>0.5</v>
      </c>
      <c r="G10" s="26" t="n">
        <v>3.18</v>
      </c>
      <c r="H10" s="43" t="n">
        <v>0.9</v>
      </c>
      <c r="I10" s="43" t="n">
        <v>0.06</v>
      </c>
      <c r="J10" s="43" t="n">
        <v>0.168</v>
      </c>
      <c r="K10" s="43" t="n">
        <v>0.104</v>
      </c>
      <c r="L10" s="5" t="n">
        <v>0.07000000000000001</v>
      </c>
      <c r="M10" s="26" t="n">
        <v>2.1</v>
      </c>
    </row>
    <row r="12">
      <c r="A12" s="2" t="inlineStr">
        <is>
          <t>STATISTICAL BANDS (peers ex-TEF)</t>
        </is>
      </c>
    </row>
    <row r="13">
      <c r="A13" s="44" t="inlineStr">
        <is>
          <t>Min</t>
        </is>
      </c>
      <c r="D13" s="5">
        <f>IFERROR(MIN(D5:D10),"")</f>
        <v/>
      </c>
      <c r="E13" s="26">
        <f>IFERROR(MIN(E5:E10),"")</f>
        <v/>
      </c>
      <c r="F13" s="26">
        <f>IFERROR(MIN(F5:F10),"")</f>
        <v/>
      </c>
      <c r="G13" s="26">
        <f>IFERROR(MIN(G5:G10),"")</f>
        <v/>
      </c>
      <c r="H13" s="43">
        <f>IFERROR(MIN(H5:H10),"")</f>
        <v/>
      </c>
      <c r="I13" s="43">
        <f>IFERROR(MIN(I5:I10),"")</f>
        <v/>
      </c>
      <c r="J13" s="43">
        <f>IFERROR(MIN(J5:J10),"")</f>
        <v/>
      </c>
      <c r="K13" s="43">
        <f>IFERROR(MIN(K5:K10),"")</f>
        <v/>
      </c>
      <c r="L13" s="5">
        <f>IFERROR(MIN(L5:L10),"")</f>
        <v/>
      </c>
      <c r="M13" s="26">
        <f>IFERROR(MIN(M5:M10),"")</f>
        <v/>
      </c>
    </row>
    <row r="14">
      <c r="A14" s="44" t="inlineStr">
        <is>
          <t>25th</t>
        </is>
      </c>
      <c r="D14" s="5">
        <f>IFERROR(QUARTILE(D5:D10,1),"")</f>
        <v/>
      </c>
      <c r="E14" s="26">
        <f>IFERROR(QUARTILE(E5:E10,1),"")</f>
        <v/>
      </c>
      <c r="F14" s="26">
        <f>IFERROR(QUARTILE(F5:F10,1),"")</f>
        <v/>
      </c>
      <c r="G14" s="26">
        <f>IFERROR(QUARTILE(G5:G10,1),"")</f>
        <v/>
      </c>
      <c r="H14" s="43">
        <f>IFERROR(QUARTILE(H5:H10,1),"")</f>
        <v/>
      </c>
      <c r="I14" s="43">
        <f>IFERROR(QUARTILE(I5:I10,1),"")</f>
        <v/>
      </c>
      <c r="J14" s="43">
        <f>IFERROR(QUARTILE(J5:J10,1),"")</f>
        <v/>
      </c>
      <c r="K14" s="43">
        <f>IFERROR(QUARTILE(K5:K10,1),"")</f>
        <v/>
      </c>
      <c r="L14" s="5">
        <f>IFERROR(QUARTILE(L5:L10,1),"")</f>
        <v/>
      </c>
      <c r="M14" s="26">
        <f>IFERROR(QUARTILE(M5:M10,1),"")</f>
        <v/>
      </c>
    </row>
    <row r="15">
      <c r="A15" s="44" t="inlineStr">
        <is>
          <t>Median</t>
        </is>
      </c>
      <c r="D15" s="5">
        <f>IFERROR(MEDIAN(D5:D10),"")</f>
        <v/>
      </c>
      <c r="E15" s="26">
        <f>IFERROR(MEDIAN(E5:E10),"")</f>
        <v/>
      </c>
      <c r="F15" s="26">
        <f>IFERROR(MEDIAN(F5:F10),"")</f>
        <v/>
      </c>
      <c r="G15" s="26">
        <f>IFERROR(MEDIAN(G5:G10),"")</f>
        <v/>
      </c>
      <c r="H15" s="43">
        <f>IFERROR(MEDIAN(H5:H10),"")</f>
        <v/>
      </c>
      <c r="I15" s="43">
        <f>IFERROR(MEDIAN(I5:I10),"")</f>
        <v/>
      </c>
      <c r="J15" s="43">
        <f>IFERROR(MEDIAN(J5:J10),"")</f>
        <v/>
      </c>
      <c r="K15" s="43">
        <f>IFERROR(MEDIAN(K5:K10),"")</f>
        <v/>
      </c>
      <c r="L15" s="5">
        <f>IFERROR(MEDIAN(L5:L10),"")</f>
        <v/>
      </c>
      <c r="M15" s="26">
        <f>IFERROR(MEDIAN(M5:M10),"")</f>
        <v/>
      </c>
    </row>
    <row r="16">
      <c r="A16" s="44" t="inlineStr">
        <is>
          <t>75th</t>
        </is>
      </c>
      <c r="D16" s="5">
        <f>IFERROR(QUARTILE(D5:D10,3),"")</f>
        <v/>
      </c>
      <c r="E16" s="26">
        <f>IFERROR(QUARTILE(E5:E10,3),"")</f>
        <v/>
      </c>
      <c r="F16" s="26">
        <f>IFERROR(QUARTILE(F5:F10,3),"")</f>
        <v/>
      </c>
      <c r="G16" s="26">
        <f>IFERROR(QUARTILE(G5:G10,3),"")</f>
        <v/>
      </c>
      <c r="H16" s="43">
        <f>IFERROR(QUARTILE(H5:H10,3),"")</f>
        <v/>
      </c>
      <c r="I16" s="43">
        <f>IFERROR(QUARTILE(I5:I10,3),"")</f>
        <v/>
      </c>
      <c r="J16" s="43">
        <f>IFERROR(QUARTILE(J5:J10,3),"")</f>
        <v/>
      </c>
      <c r="K16" s="43">
        <f>IFERROR(QUARTILE(K5:K10,3),"")</f>
        <v/>
      </c>
      <c r="L16" s="5">
        <f>IFERROR(QUARTILE(L5:L10,3),"")</f>
        <v/>
      </c>
      <c r="M16" s="26">
        <f>IFERROR(QUARTILE(M5:M10,3),"")</f>
        <v/>
      </c>
    </row>
    <row r="17">
      <c r="A17" s="44" t="inlineStr">
        <is>
          <t>Max</t>
        </is>
      </c>
      <c r="D17" s="5">
        <f>IFERROR(MAX(D5:D10),"")</f>
        <v/>
      </c>
      <c r="E17" s="26">
        <f>IFERROR(MAX(E5:E10),"")</f>
        <v/>
      </c>
      <c r="F17" s="26">
        <f>IFERROR(MAX(F5:F10),"")</f>
        <v/>
      </c>
      <c r="G17" s="26">
        <f>IFERROR(MAX(G5:G10),"")</f>
        <v/>
      </c>
      <c r="H17" s="43">
        <f>IFERROR(MAX(H5:H10),"")</f>
        <v/>
      </c>
      <c r="I17" s="43">
        <f>IFERROR(MAX(I5:I10),"")</f>
        <v/>
      </c>
      <c r="J17" s="43">
        <f>IFERROR(MAX(J5:J10),"")</f>
        <v/>
      </c>
      <c r="K17" s="43">
        <f>IFERROR(MAX(K5:K10),"")</f>
        <v/>
      </c>
      <c r="L17" s="5">
        <f>IFERROR(MAX(L5:L10),"")</f>
        <v/>
      </c>
      <c r="M17" s="26">
        <f>IFERROR(MAX(M5:M10),"")</f>
        <v/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2026-05-06T08:14:41Z</dcterms:created>
  <dcterms:modified xmlns:dcterms="http://purl.org/dc/terms/" xmlns:xsi="http://www.w3.org/2001/XMLSchema-instance" xsi:type="dcterms:W3CDTF">2026-05-06T08:14:41Z</dcterms:modified>
</cp:coreProperties>
</file>