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_Model" sheetId="1" state="visible" r:id="rId1"/>
    <sheet xmlns:r="http://schemas.openxmlformats.org/officeDocument/2006/relationships" name="Income_Statement" sheetId="2" state="visible" r:id="rId2"/>
    <sheet xmlns:r="http://schemas.openxmlformats.org/officeDocument/2006/relationships" name="Cash_Flow" sheetId="3" state="visible" r:id="rId3"/>
    <sheet xmlns:r="http://schemas.openxmlformats.org/officeDocument/2006/relationships" name="Balance_Sheet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DCF_Inputs" sheetId="6" state="visible" r:id="rId6"/>
    <sheet xmlns:r="http://schemas.openxmlformats.org/officeDocument/2006/relationships" name="DCF" sheetId="7" state="visible" r:id="rId7"/>
    <sheet xmlns:r="http://schemas.openxmlformats.org/officeDocument/2006/relationships" name="DCF_Sensitivity" sheetId="8" state="visible" r:id="rId8"/>
    <sheet xmlns:r="http://schemas.openxmlformats.org/officeDocument/2006/relationships" name="Comps" sheetId="9" state="visible" r:id="rId9"/>
    <sheet xmlns:r="http://schemas.openxmlformats.org/officeDocument/2006/relationships" name="Valuation_Summary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%"/>
    <numFmt numFmtId="165" formatCode="#,##0;(#,##0)"/>
    <numFmt numFmtId="166" formatCode="0.00&quot;x&quot;"/>
    <numFmt numFmtId="167" formatCode="0.000"/>
    <numFmt numFmtId="168" formatCode="€0.00"/>
  </numFmts>
  <fonts count="14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  <font>
      <b val="1"/>
      <sz val="10"/>
    </font>
    <font/>
    <font>
      <color rgb="00000080"/>
    </font>
    <font>
      <color rgb="00000000"/>
    </font>
    <font>
      <i val="1"/>
      <color rgb="00666666"/>
    </font>
    <font>
      <i val="1"/>
      <color rgb="00999999"/>
    </font>
    <font>
      <b val="1"/>
      <color rgb="00C00000"/>
    </font>
    <font>
      <b val="1"/>
      <i val="1"/>
    </font>
    <font>
      <i val="1"/>
    </font>
    <font>
      <b val="1"/>
      <color rgb="0000B050"/>
    </font>
    <font>
      <b val="1"/>
      <color rgb="0000B050"/>
      <sz val="14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  <fill>
      <patternFill patternType="solid">
        <fgColor rgb="00FFF2CC"/>
      </patternFill>
    </fill>
    <fill>
      <patternFill patternType="solid">
        <fgColor rgb="00BDD7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pivotButton="0" quotePrefix="0" xfId="0"/>
    <xf numFmtId="0" fontId="3" fillId="3" borderId="0" pivotButton="0" quotePrefix="0" xfId="0"/>
    <xf numFmtId="0" fontId="0" fillId="3" borderId="0" pivotButton="0" quotePrefix="0" xfId="0"/>
    <xf numFmtId="0" fontId="4" fillId="0" borderId="0" pivotButton="0" quotePrefix="0" xfId="0"/>
    <xf numFmtId="3" fontId="5" fillId="4" borderId="0" pivotButton="0" quotePrefix="0" xfId="0"/>
    <xf numFmtId="3" fontId="6" fillId="0" borderId="0" pivotButton="0" quotePrefix="0" xfId="0"/>
    <xf numFmtId="0" fontId="2" fillId="0" borderId="0" pivotButton="0" quotePrefix="0" xfId="0"/>
    <xf numFmtId="3" fontId="2" fillId="3" borderId="0" pivotButton="0" quotePrefix="0" xfId="0"/>
    <xf numFmtId="3" fontId="0" fillId="0" borderId="0" pivotButton="0" quotePrefix="0" xfId="0"/>
    <xf numFmtId="0" fontId="7" fillId="0" borderId="0" pivotButton="0" quotePrefix="0" xfId="0"/>
    <xf numFmtId="3" fontId="7" fillId="0" borderId="0" pivotButton="0" quotePrefix="0" xfId="0"/>
    <xf numFmtId="0" fontId="8" fillId="0" borderId="0" pivotButton="0" quotePrefix="0" xfId="0"/>
    <xf numFmtId="164" fontId="5" fillId="4" borderId="0" pivotButton="0" quotePrefix="0" xfId="0"/>
    <xf numFmtId="0" fontId="5" fillId="4" borderId="0" pivotButton="0" quotePrefix="0" xfId="0"/>
    <xf numFmtId="165" fontId="2" fillId="0" borderId="0" pivotButton="0" quotePrefix="0" xfId="0"/>
    <xf numFmtId="165" fontId="5" fillId="4" borderId="0" pivotButton="0" quotePrefix="0" xfId="0"/>
    <xf numFmtId="165" fontId="6" fillId="0" borderId="0" pivotButton="0" quotePrefix="0" xfId="0"/>
    <xf numFmtId="165" fontId="2" fillId="3" borderId="0" pivotButton="0" quotePrefix="0" xfId="0"/>
    <xf numFmtId="165" fontId="7" fillId="0" borderId="0" pivotButton="0" quotePrefix="0" xfId="0"/>
    <xf numFmtId="2" fontId="2" fillId="0" borderId="0" pivotButton="0" quotePrefix="0" xfId="0"/>
    <xf numFmtId="165" fontId="0" fillId="0" borderId="0" pivotButton="0" quotePrefix="0" xfId="0"/>
    <xf numFmtId="165" fontId="8" fillId="0" borderId="0" pivotButton="0" quotePrefix="0" xfId="0"/>
    <xf numFmtId="166" fontId="7" fillId="0" borderId="0" pivotButton="0" quotePrefix="0" xfId="0"/>
    <xf numFmtId="164" fontId="2" fillId="4" borderId="0" pivotButton="0" quotePrefix="0" xfId="0"/>
    <xf numFmtId="3" fontId="2" fillId="0" borderId="0" pivotButton="0" quotePrefix="0" xfId="0"/>
    <xf numFmtId="166" fontId="2" fillId="0" borderId="0" pivotButton="0" quotePrefix="0" xfId="0"/>
    <xf numFmtId="0" fontId="2" fillId="4" borderId="0" pivotButton="0" quotePrefix="0" xfId="0"/>
    <xf numFmtId="10" fontId="5" fillId="4" borderId="0" pivotButton="0" quotePrefix="0" xfId="0"/>
    <xf numFmtId="10" fontId="6" fillId="0" borderId="0" pivotButton="0" quotePrefix="0" xfId="0"/>
    <xf numFmtId="10" fontId="2" fillId="3" borderId="0" pivotButton="0" quotePrefix="0" xfId="0"/>
    <xf numFmtId="0" fontId="1" fillId="2" borderId="0" pivotButton="0" quotePrefix="0" xfId="0"/>
    <xf numFmtId="10" fontId="0" fillId="0" borderId="0" pivotButton="0" quotePrefix="0" xfId="0"/>
    <xf numFmtId="167" fontId="0" fillId="0" borderId="0" pivotButton="0" quotePrefix="0" xfId="0"/>
    <xf numFmtId="168" fontId="9" fillId="3" borderId="0" pivotButton="0" quotePrefix="0" xfId="0"/>
    <xf numFmtId="0" fontId="10" fillId="0" borderId="0" pivotButton="0" quotePrefix="0" xfId="0"/>
    <xf numFmtId="168" fontId="0" fillId="0" borderId="0" pivotButton="0" quotePrefix="0" xfId="0"/>
    <xf numFmtId="168" fontId="2" fillId="5" borderId="0" pivotButton="0" quotePrefix="0" xfId="0"/>
    <xf numFmtId="1" fontId="2" fillId="0" borderId="0" pivotButton="0" quotePrefix="0" xfId="0"/>
    <xf numFmtId="164" fontId="2" fillId="0" borderId="0" pivotButton="0" quotePrefix="0" xfId="0"/>
    <xf numFmtId="1" fontId="0" fillId="0" borderId="0" pivotButton="0" quotePrefix="0" xfId="0"/>
    <xf numFmtId="166" fontId="0" fillId="0" borderId="0" pivotButton="0" quotePrefix="0" xfId="0"/>
    <xf numFmtId="164" fontId="0" fillId="0" borderId="0" pivotButton="0" quotePrefix="0" xfId="0"/>
    <xf numFmtId="0" fontId="11" fillId="0" borderId="0" pivotButton="0" quotePrefix="0" xfId="0"/>
    <xf numFmtId="2" fontId="0" fillId="0" borderId="0" pivotButton="0" quotePrefix="0" xfId="0"/>
    <xf numFmtId="168" fontId="5" fillId="4" borderId="0" pivotButton="0" quotePrefix="0" xfId="0"/>
    <xf numFmtId="164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omments/comment1.xml><?xml version="1.0" encoding="utf-8"?>
<comments xmlns="http://schemas.openxmlformats.org/spreadsheetml/2006/main">
  <authors>
    <author>TEF Model</author>
  </authors>
  <commentList>
    <comment ref="B6" authorId="0" shapeId="0">
      <text>
        <t>FY2020 actual revenue per company filings</t>
      </text>
    </comment>
    <comment ref="C6" authorId="0" shapeId="0">
      <text>
        <t>FY2021 actual revenue per company filings</t>
      </text>
    </comment>
    <comment ref="D6" authorId="0" shapeId="0">
      <text>
        <t>FY2022 actual revenue per company filings</t>
      </text>
    </comment>
    <comment ref="E6" authorId="0" shapeId="0">
      <text>
        <t>FY2023 actual revenue per company filings</t>
      </text>
    </comment>
    <comment ref="F6" authorId="0" shapeId="0">
      <text>
        <t>FY2024 actual revenue per company filings</t>
      </text>
    </comment>
    <comment ref="B7" authorId="0" shapeId="0">
      <text>
        <t>FY2020 actual revenue per company filings</t>
      </text>
    </comment>
    <comment ref="C7" authorId="0" shapeId="0">
      <text>
        <t>FY2021 actual revenue per company filings</t>
      </text>
    </comment>
    <comment ref="D7" authorId="0" shapeId="0">
      <text>
        <t>FY2022 actual revenue per company filings</t>
      </text>
    </comment>
    <comment ref="E7" authorId="0" shapeId="0">
      <text>
        <t>FY2023 actual revenue per company filings</t>
      </text>
    </comment>
    <comment ref="F7" authorId="0" shapeId="0">
      <text>
        <t>FY2024 actual revenue per company filings</t>
      </text>
    </comment>
    <comment ref="B8" authorId="0" shapeId="0">
      <text>
        <t>FY2020 actual revenue per company filings</t>
      </text>
    </comment>
    <comment ref="C8" authorId="0" shapeId="0">
      <text>
        <t>FY2021 actual revenue per company filings</t>
      </text>
    </comment>
    <comment ref="D8" authorId="0" shapeId="0">
      <text>
        <t>FY2022 actual revenue per company filings</t>
      </text>
    </comment>
    <comment ref="E8" authorId="0" shapeId="0">
      <text>
        <t>FY2023 actual revenue per company filings</t>
      </text>
    </comment>
    <comment ref="F8" authorId="0" shapeId="0">
      <text>
        <t>FY2024 actual revenue per company filings</t>
      </text>
    </comment>
    <comment ref="B9" authorId="0" shapeId="0">
      <text>
        <t>FY2020 actual revenue per company filings</t>
      </text>
    </comment>
    <comment ref="C9" authorId="0" shapeId="0">
      <text>
        <t>FY2021 actual revenue per company filings</t>
      </text>
    </comment>
    <comment ref="D9" authorId="0" shapeId="0">
      <text>
        <t>FY2022 actual revenue per company filings</t>
      </text>
    </comment>
    <comment ref="E9" authorId="0" shapeId="0">
      <text>
        <t>FY2023 actual revenue per company filings</t>
      </text>
    </comment>
    <comment ref="F9" authorId="0" shapeId="0">
      <text>
        <t>FY2024 actual revenue per company filings</t>
      </text>
    </comment>
    <comment ref="B10" authorId="0" shapeId="0">
      <text>
        <t>FY2020 actual revenue per company filings</t>
      </text>
    </comment>
    <comment ref="C10" authorId="0" shapeId="0">
      <text>
        <t>FY2021 actual revenue per company filings</t>
      </text>
    </comment>
    <comment ref="D10" authorId="0" shapeId="0">
      <text>
        <t>FY2022 actual revenue per company filings</t>
      </text>
    </comment>
    <comment ref="E10" authorId="0" shapeId="0">
      <text>
        <t>FY2023 actual revenue per company filings</t>
      </text>
    </comment>
    <comment ref="F10" authorId="0" shapeId="0">
      <text>
        <t>FY2024 actual revenue per company filings</t>
      </text>
    </comment>
    <comment ref="B11" authorId="0" shapeId="0">
      <text>
        <t>FY2020 actual revenue per company filings</t>
      </text>
    </comment>
    <comment ref="C11" authorId="0" shapeId="0">
      <text>
        <t>FY2021 actual revenue per company filings</t>
      </text>
    </comment>
    <comment ref="D11" authorId="0" shapeId="0">
      <text>
        <t>FY2022 actual revenue per company filings</t>
      </text>
    </comment>
    <comment ref="E11" authorId="0" shapeId="0">
      <text>
        <t>FY2023 actual revenue per company filings</t>
      </text>
    </comment>
    <comment ref="F11" authorId="0" shapeId="0">
      <text>
        <t>FY2024 actual revenue per company filings</t>
      </text>
    </comment>
    <comment ref="G26" authorId="0" shapeId="0">
      <text>
        <t>Forward growth assumption — illustrative</t>
      </text>
    </comment>
    <comment ref="H26" authorId="0" shapeId="0">
      <text>
        <t>Forward growth assumption — illustrative</t>
      </text>
    </comment>
    <comment ref="I26" authorId="0" shapeId="0">
      <text>
        <t>Forward growth assumption — illustrative</t>
      </text>
    </comment>
    <comment ref="J26" authorId="0" shapeId="0">
      <text>
        <t>Forward growth assumption — illustrative</t>
      </text>
    </comment>
    <comment ref="K26" authorId="0" shapeId="0">
      <text>
        <t>Forward growth assumption — illustrative</t>
      </text>
    </comment>
    <comment ref="G27" authorId="0" shapeId="0">
      <text>
        <t>Forward growth assumption — illustrative</t>
      </text>
    </comment>
    <comment ref="H27" authorId="0" shapeId="0">
      <text>
        <t>Forward growth assumption — illustrative</t>
      </text>
    </comment>
    <comment ref="I27" authorId="0" shapeId="0">
      <text>
        <t>Forward growth assumption — illustrative</t>
      </text>
    </comment>
    <comment ref="J27" authorId="0" shapeId="0">
      <text>
        <t>Forward growth assumption — illustrative</t>
      </text>
    </comment>
    <comment ref="K27" authorId="0" shapeId="0">
      <text>
        <t>Forward growth assumption — illustrative</t>
      </text>
    </comment>
    <comment ref="G28" authorId="0" shapeId="0">
      <text>
        <t>Forward growth assumption — illustrative</t>
      </text>
    </comment>
    <comment ref="H28" authorId="0" shapeId="0">
      <text>
        <t>Forward growth assumption — illustrative</t>
      </text>
    </comment>
    <comment ref="I28" authorId="0" shapeId="0">
      <text>
        <t>Forward growth assumption — illustrative</t>
      </text>
    </comment>
    <comment ref="J28" authorId="0" shapeId="0">
      <text>
        <t>Forward growth assumption — illustrative</t>
      </text>
    </comment>
    <comment ref="K28" authorId="0" shapeId="0">
      <text>
        <t>Forward growth assumption — illustrative</t>
      </text>
    </comment>
    <comment ref="G29" authorId="0" shapeId="0">
      <text>
        <t>Forward growth assumption — illustrative</t>
      </text>
    </comment>
    <comment ref="H29" authorId="0" shapeId="0">
      <text>
        <t>Forward growth assumption — illustrative</t>
      </text>
    </comment>
    <comment ref="I29" authorId="0" shapeId="0">
      <text>
        <t>Forward growth assumption — illustrative</t>
      </text>
    </comment>
    <comment ref="J29" authorId="0" shapeId="0">
      <text>
        <t>Forward growth assumption — illustrative</t>
      </text>
    </comment>
    <comment ref="K29" authorId="0" shapeId="0">
      <text>
        <t>Forward growth assumption — illustrative</t>
      </text>
    </comment>
    <comment ref="G30" authorId="0" shapeId="0">
      <text>
        <t>Forward growth assumption — illustrative</t>
      </text>
    </comment>
    <comment ref="H30" authorId="0" shapeId="0">
      <text>
        <t>Forward growth assumption — illustrative</t>
      </text>
    </comment>
    <comment ref="I30" authorId="0" shapeId="0">
      <text>
        <t>Forward growth assumption — illustrative</t>
      </text>
    </comment>
    <comment ref="J30" authorId="0" shapeId="0">
      <text>
        <t>Forward growth assumption — illustrative</t>
      </text>
    </comment>
    <comment ref="K30" authorId="0" shapeId="0">
      <text>
        <t>Forward growth assumption — illustrative</t>
      </text>
    </comment>
    <comment ref="G31" authorId="0" shapeId="0">
      <text>
        <t>Forward growth assumption — illustrative</t>
      </text>
    </comment>
    <comment ref="H31" authorId="0" shapeId="0">
      <text>
        <t>Forward growth assumption — illustrative</t>
      </text>
    </comment>
    <comment ref="I31" authorId="0" shapeId="0">
      <text>
        <t>Forward growth assumption — illustrative</t>
      </text>
    </comment>
    <comment ref="J31" authorId="0" shapeId="0">
      <text>
        <t>Forward growth assumption — illustrative</t>
      </text>
    </comment>
    <comment ref="K31" authorId="0" shapeId="0">
      <text>
        <t>Forward growth assumption — illustrative</t>
      </text>
    </comment>
    <comment ref="B35" authorId="0" shapeId="0">
      <text>
        <t>FY2020 reported (illustrative split)</t>
      </text>
    </comment>
    <comment ref="C35" authorId="0" shapeId="0">
      <text>
        <t>FY2021 reported (illustrative split)</t>
      </text>
    </comment>
    <comment ref="D35" authorId="0" shapeId="0">
      <text>
        <t>FY2022 reported (illustrative split)</t>
      </text>
    </comment>
    <comment ref="E35" authorId="0" shapeId="0">
      <text>
        <t>FY2023 reported (illustrative split)</t>
      </text>
    </comment>
    <comment ref="F35" authorId="0" shapeId="0">
      <text>
        <t>FY2024 reported (illustrative split)</t>
      </text>
    </comment>
    <comment ref="G35" authorId="0" shapeId="0">
      <text>
        <t>Forward estimate</t>
      </text>
    </comment>
    <comment ref="H35" authorId="0" shapeId="0">
      <text>
        <t>Forward estimate</t>
      </text>
    </comment>
    <comment ref="I35" authorId="0" shapeId="0">
      <text>
        <t>Forward estimate</t>
      </text>
    </comment>
    <comment ref="J35" authorId="0" shapeId="0">
      <text>
        <t>Forward estimate</t>
      </text>
    </comment>
    <comment ref="K35" authorId="0" shapeId="0">
      <text>
        <t>Forward estimate</t>
      </text>
    </comment>
    <comment ref="B36" authorId="0" shapeId="0">
      <text>
        <t>FY2020 reported (illustrative split)</t>
      </text>
    </comment>
    <comment ref="C36" authorId="0" shapeId="0">
      <text>
        <t>FY2021 reported (illustrative split)</t>
      </text>
    </comment>
    <comment ref="D36" authorId="0" shapeId="0">
      <text>
        <t>FY2022 reported (illustrative split)</t>
      </text>
    </comment>
    <comment ref="E36" authorId="0" shapeId="0">
      <text>
        <t>FY2023 reported (illustrative split)</t>
      </text>
    </comment>
    <comment ref="F36" authorId="0" shapeId="0">
      <text>
        <t>FY2024 reported (illustrative split)</t>
      </text>
    </comment>
    <comment ref="G36" authorId="0" shapeId="0">
      <text>
        <t>Forward estimate</t>
      </text>
    </comment>
    <comment ref="H36" authorId="0" shapeId="0">
      <text>
        <t>Forward estimate</t>
      </text>
    </comment>
    <comment ref="I36" authorId="0" shapeId="0">
      <text>
        <t>Forward estimate</t>
      </text>
    </comment>
    <comment ref="J36" authorId="0" shapeId="0">
      <text>
        <t>Forward estimate</t>
      </text>
    </comment>
    <comment ref="K36" authorId="0" shapeId="0">
      <text>
        <t>Forward estimate</t>
      </text>
    </comment>
    <comment ref="B37" authorId="0" shapeId="0">
      <text>
        <t>FY2020 reported (illustrative split)</t>
      </text>
    </comment>
    <comment ref="C37" authorId="0" shapeId="0">
      <text>
        <t>FY2021 reported (illustrative split)</t>
      </text>
    </comment>
    <comment ref="D37" authorId="0" shapeId="0">
      <text>
        <t>FY2022 reported (illustrative split)</t>
      </text>
    </comment>
    <comment ref="E37" authorId="0" shapeId="0">
      <text>
        <t>FY2023 reported (illustrative split)</t>
      </text>
    </comment>
    <comment ref="F37" authorId="0" shapeId="0">
      <text>
        <t>FY2024 reported (illustrative split)</t>
      </text>
    </comment>
    <comment ref="G37" authorId="0" shapeId="0">
      <text>
        <t>Forward estimate</t>
      </text>
    </comment>
    <comment ref="H37" authorId="0" shapeId="0">
      <text>
        <t>Forward estimate</t>
      </text>
    </comment>
    <comment ref="I37" authorId="0" shapeId="0">
      <text>
        <t>Forward estimate</t>
      </text>
    </comment>
    <comment ref="J37" authorId="0" shapeId="0">
      <text>
        <t>Forward estimate</t>
      </text>
    </comment>
    <comment ref="K37" authorId="0" shapeId="0">
      <text>
        <t>Forward estimate</t>
      </text>
    </comment>
    <comment ref="B38" authorId="0" shapeId="0">
      <text>
        <t>FY2020 reported (illustrative split)</t>
      </text>
    </comment>
    <comment ref="C38" authorId="0" shapeId="0">
      <text>
        <t>FY2021 reported (illustrative split)</t>
      </text>
    </comment>
    <comment ref="D38" authorId="0" shapeId="0">
      <text>
        <t>FY2022 reported (illustrative split)</t>
      </text>
    </comment>
    <comment ref="E38" authorId="0" shapeId="0">
      <text>
        <t>FY2023 reported (illustrative split)</t>
      </text>
    </comment>
    <comment ref="F38" authorId="0" shapeId="0">
      <text>
        <t>FY2024 reported (illustrative split)</t>
      </text>
    </comment>
    <comment ref="G38" authorId="0" shapeId="0">
      <text>
        <t>Forward estimate</t>
      </text>
    </comment>
    <comment ref="H38" authorId="0" shapeId="0">
      <text>
        <t>Forward estimate</t>
      </text>
    </comment>
    <comment ref="I38" authorId="0" shapeId="0">
      <text>
        <t>Forward estimate</t>
      </text>
    </comment>
    <comment ref="J38" authorId="0" shapeId="0">
      <text>
        <t>Forward estimate</t>
      </text>
    </comment>
    <comment ref="K38" authorId="0" shapeId="0">
      <text>
        <t>Forward estimate</t>
      </text>
    </comment>
    <comment ref="B39" authorId="0" shapeId="0">
      <text>
        <t>FY2020 reported (illustrative split)</t>
      </text>
    </comment>
    <comment ref="C39" authorId="0" shapeId="0">
      <text>
        <t>FY2021 reported (illustrative split)</t>
      </text>
    </comment>
    <comment ref="D39" authorId="0" shapeId="0">
      <text>
        <t>FY2022 reported (illustrative split)</t>
      </text>
    </comment>
    <comment ref="E39" authorId="0" shapeId="0">
      <text>
        <t>FY2023 reported (illustrative split)</t>
      </text>
    </comment>
    <comment ref="F39" authorId="0" shapeId="0">
      <text>
        <t>FY2024 reported (illustrative split)</t>
      </text>
    </comment>
    <comment ref="G39" authorId="0" shapeId="0">
      <text>
        <t>Forward estimate</t>
      </text>
    </comment>
    <comment ref="H39" authorId="0" shapeId="0">
      <text>
        <t>Forward estimate</t>
      </text>
    </comment>
    <comment ref="I39" authorId="0" shapeId="0">
      <text>
        <t>Forward estimate</t>
      </text>
    </comment>
    <comment ref="J39" authorId="0" shapeId="0">
      <text>
        <t>Forward estimate</t>
      </text>
    </comment>
    <comment ref="K39" authorId="0" shapeId="0">
      <text>
        <t>Forward estimate</t>
      </text>
    </comment>
  </commentList>
</comments>
</file>

<file path=xl/comments/comment2.xml><?xml version="1.0" encoding="utf-8"?>
<comments xmlns="http://schemas.openxmlformats.org/spreadsheetml/2006/main">
  <authors>
    <author>TEF Model</author>
  </authors>
  <commentList>
    <comment ref="B6" authorId="0" shapeId="0">
      <text>
        <t>Historical</t>
      </text>
    </comment>
    <comment ref="C6" authorId="0" shapeId="0">
      <text>
        <t>Historical</t>
      </text>
    </comment>
    <comment ref="D6" authorId="0" shapeId="0">
      <text>
        <t>Historical</t>
      </text>
    </comment>
    <comment ref="E6" authorId="0" shapeId="0">
      <text>
        <t>Historical</t>
      </text>
    </comment>
    <comment ref="F6" authorId="0" shapeId="0">
      <text>
        <t>Historical</t>
      </text>
    </comment>
    <comment ref="G14" authorId="0" shapeId="0">
      <text>
        <t>Declining as net debt reduces</t>
      </text>
    </comment>
    <comment ref="H14" authorId="0" shapeId="0">
      <text>
        <t>Declining as net debt reduces</t>
      </text>
    </comment>
    <comment ref="I14" authorId="0" shapeId="0">
      <text>
        <t>Declining as net debt reduces</t>
      </text>
    </comment>
    <comment ref="J14" authorId="0" shapeId="0">
      <text>
        <t>Declining as net debt reduces</t>
      </text>
    </comment>
    <comment ref="K14" authorId="0" shapeId="0">
      <text>
        <t>Declining as net debt reduces</t>
      </text>
    </comment>
    <comment ref="G15" authorId="0" shapeId="0">
      <text>
        <t>Stable assumption</t>
      </text>
    </comment>
    <comment ref="H15" authorId="0" shapeId="0">
      <text>
        <t>Stable assumption</t>
      </text>
    </comment>
    <comment ref="I15" authorId="0" shapeId="0">
      <text>
        <t>Stable assumption</t>
      </text>
    </comment>
    <comment ref="J15" authorId="0" shapeId="0">
      <text>
        <t>Stable assumption</t>
      </text>
    </comment>
    <comment ref="K15" authorId="0" shapeId="0">
      <text>
        <t>Stable assumption</t>
      </text>
    </comment>
    <comment ref="G18" authorId="0" shapeId="0">
      <text>
        <t>Stable Vivo minority</t>
      </text>
    </comment>
    <comment ref="H18" authorId="0" shapeId="0">
      <text>
        <t>Stable Vivo minority</t>
      </text>
    </comment>
    <comment ref="I18" authorId="0" shapeId="0">
      <text>
        <t>Stable Vivo minority</t>
      </text>
    </comment>
    <comment ref="J18" authorId="0" shapeId="0">
      <text>
        <t>Stable Vivo minority</t>
      </text>
    </comment>
    <comment ref="K18" authorId="0" shapeId="0">
      <text>
        <t>Stable Vivo minority</t>
      </text>
    </comment>
    <comment ref="G21" authorId="0" shapeId="0">
      <text>
        <t>Buyback assumption</t>
      </text>
    </comment>
    <comment ref="H21" authorId="0" shapeId="0">
      <text>
        <t>Buyback assumption</t>
      </text>
    </comment>
    <comment ref="I21" authorId="0" shapeId="0">
      <text>
        <t>Buyback assumption</t>
      </text>
    </comment>
    <comment ref="J21" authorId="0" shapeId="0">
      <text>
        <t>Buyback assumption</t>
      </text>
    </comment>
    <comment ref="K21" authorId="0" shapeId="0">
      <text>
        <t>Buyback assumption</t>
      </text>
    </comment>
  </commentList>
</comments>
</file>

<file path=xl/comments/comment3.xml><?xml version="1.0" encoding="utf-8"?>
<comments xmlns="http://schemas.openxmlformats.org/spreadsheetml/2006/main">
  <authors>
    <author>TEF Model</author>
  </authors>
  <commentList>
    <comment ref="G8" authorId="0" shapeId="0">
      <text>
        <t>Stable assumption</t>
      </text>
    </comment>
    <comment ref="H8" authorId="0" shapeId="0">
      <text>
        <t>Stable assumption</t>
      </text>
    </comment>
    <comment ref="I8" authorId="0" shapeId="0">
      <text>
        <t>Stable assumption</t>
      </text>
    </comment>
    <comment ref="J8" authorId="0" shapeId="0">
      <text>
        <t>Stable assumption</t>
      </text>
    </comment>
    <comment ref="K8" authorId="0" shapeId="0">
      <text>
        <t>Stable assumption</t>
      </text>
    </comment>
    <comment ref="B10" authorId="0" shapeId="0">
      <text>
        <t>Reported capex</t>
      </text>
    </comment>
    <comment ref="C10" authorId="0" shapeId="0">
      <text>
        <t>Reported capex</t>
      </text>
    </comment>
    <comment ref="D10" authorId="0" shapeId="0">
      <text>
        <t>Reported capex</t>
      </text>
    </comment>
    <comment ref="E10" authorId="0" shapeId="0">
      <text>
        <t>Reported capex</t>
      </text>
    </comment>
    <comment ref="F10" authorId="0" shapeId="0">
      <text>
        <t>Reported capex</t>
      </text>
    </comment>
  </commentList>
</comments>
</file>

<file path=xl/comments/comment4.xml><?xml version="1.0" encoding="utf-8"?>
<comments xmlns="http://schemas.openxmlformats.org/spreadsheetml/2006/main">
  <authors>
    <author>TEF Model</author>
  </authors>
  <commentList>
    <comment ref="B5" authorId="0" shapeId="0">
      <text>
        <t>FY20A reported cash</t>
      </text>
    </comment>
  </commentList>
</comments>
</file>

<file path=xl/comments/comment5.xml><?xml version="1.0" encoding="utf-8"?>
<comments xmlns="http://schemas.openxmlformats.org/spreadsheetml/2006/main">
  <authors>
    <author>TEF Model</author>
  </authors>
  <commentList>
    <comment ref="B25" authorId="0" shapeId="0">
      <text>
        <t>Override to use 8.5% per Task 3 valuation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9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1" t="inlineStr">
        <is>
          <t>TEF — Revenue model (€ millions)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FY25E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</row>
    <row r="5">
      <c r="A5" s="3" t="inlineStr">
        <is>
          <t>Geography revenue (€m)</t>
        </is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5" t="inlineStr">
        <is>
          <t>Spain</t>
        </is>
      </c>
      <c r="B6" s="6" t="n">
        <v>12500</v>
      </c>
      <c r="C6" s="6" t="n">
        <v>12100</v>
      </c>
      <c r="D6" s="6" t="n">
        <v>12210</v>
      </c>
      <c r="E6" s="6" t="n">
        <v>12419</v>
      </c>
      <c r="F6" s="6" t="n">
        <v>12600</v>
      </c>
      <c r="G6" s="7">
        <f>F6*(1+G25)</f>
        <v/>
      </c>
      <c r="H6" s="7">
        <f>G6*(1+H25)</f>
        <v/>
      </c>
      <c r="I6" s="7">
        <f>H6*(1+I25)</f>
        <v/>
      </c>
      <c r="J6" s="7">
        <f>I6*(1+J25)</f>
        <v/>
      </c>
      <c r="K6" s="7">
        <f>J6*(1+K25)</f>
        <v/>
      </c>
    </row>
    <row r="7">
      <c r="A7" s="5" t="inlineStr">
        <is>
          <t>Brazil (Vivo)</t>
        </is>
      </c>
      <c r="B7" s="6" t="n">
        <v>9650</v>
      </c>
      <c r="C7" s="6" t="n">
        <v>9450</v>
      </c>
      <c r="D7" s="6" t="n">
        <v>9840</v>
      </c>
      <c r="E7" s="6" t="n">
        <v>10150</v>
      </c>
      <c r="F7" s="6" t="n">
        <v>10400</v>
      </c>
      <c r="G7" s="7">
        <f>F7*(1+G25)</f>
        <v/>
      </c>
      <c r="H7" s="7">
        <f>G7*(1+H25)</f>
        <v/>
      </c>
      <c r="I7" s="7">
        <f>H7*(1+I25)</f>
        <v/>
      </c>
      <c r="J7" s="7">
        <f>I7*(1+J25)</f>
        <v/>
      </c>
      <c r="K7" s="7">
        <f>J7*(1+K25)</f>
        <v/>
      </c>
    </row>
    <row r="8">
      <c r="A8" s="5" t="inlineStr">
        <is>
          <t>Germany (O2D)</t>
        </is>
      </c>
      <c r="B8" s="6" t="n">
        <v>8650</v>
      </c>
      <c r="C8" s="6" t="n">
        <v>8230</v>
      </c>
      <c r="D8" s="6" t="n">
        <v>8330</v>
      </c>
      <c r="E8" s="6" t="n">
        <v>8500</v>
      </c>
      <c r="F8" s="6" t="n">
        <v>8650</v>
      </c>
      <c r="G8" s="7">
        <f>F8*(1+G25)</f>
        <v/>
      </c>
      <c r="H8" s="7">
        <f>G8*(1+H25)</f>
        <v/>
      </c>
      <c r="I8" s="7">
        <f>H8*(1+I25)</f>
        <v/>
      </c>
      <c r="J8" s="7">
        <f>I8*(1+J25)</f>
        <v/>
      </c>
      <c r="K8" s="7">
        <f>J8*(1+K25)</f>
        <v/>
      </c>
    </row>
    <row r="9">
      <c r="A9" s="5" t="inlineStr">
        <is>
          <t>UK (VMO2 50%)</t>
        </is>
      </c>
      <c r="B9" s="6" t="n">
        <v>4900</v>
      </c>
      <c r="C9" s="6" t="n">
        <v>5100</v>
      </c>
      <c r="D9" s="6" t="n">
        <v>5200</v>
      </c>
      <c r="E9" s="6" t="n">
        <v>5300</v>
      </c>
      <c r="F9" s="6" t="n">
        <v>5400</v>
      </c>
      <c r="G9" s="7">
        <f>F9*(1+G25)</f>
        <v/>
      </c>
      <c r="H9" s="7">
        <f>G9*(1+H25)</f>
        <v/>
      </c>
      <c r="I9" s="7">
        <f>H9*(1+I25)</f>
        <v/>
      </c>
      <c r="J9" s="7">
        <f>I9*(1+J25)</f>
        <v/>
      </c>
      <c r="K9" s="7">
        <f>J9*(1+K25)</f>
        <v/>
      </c>
    </row>
    <row r="10">
      <c r="A10" s="5" t="inlineStr">
        <is>
          <t>Hispam</t>
        </is>
      </c>
      <c r="B10" s="6" t="n">
        <v>6800</v>
      </c>
      <c r="C10" s="6" t="n">
        <v>4900</v>
      </c>
      <c r="D10" s="6" t="n">
        <v>4150</v>
      </c>
      <c r="E10" s="6" t="n">
        <v>3950</v>
      </c>
      <c r="F10" s="6" t="n">
        <v>3800</v>
      </c>
      <c r="G10" s="7">
        <f>F10*(1+G25)</f>
        <v/>
      </c>
      <c r="H10" s="7">
        <f>G10*(1+H25)</f>
        <v/>
      </c>
      <c r="I10" s="7">
        <f>H10*(1+I25)</f>
        <v/>
      </c>
      <c r="J10" s="7">
        <f>I10*(1+J25)</f>
        <v/>
      </c>
      <c r="K10" s="7">
        <f>J10*(1+K25)</f>
        <v/>
      </c>
    </row>
    <row r="11">
      <c r="A11" s="5" t="inlineStr">
        <is>
          <t>Tech / Corporate</t>
        </is>
      </c>
      <c r="B11" s="6" t="n">
        <v>576</v>
      </c>
      <c r="C11" s="6" t="n">
        <v>500</v>
      </c>
      <c r="D11" s="6" t="n">
        <v>263</v>
      </c>
      <c r="E11" s="6" t="n">
        <v>333</v>
      </c>
      <c r="F11" s="6" t="n">
        <v>465</v>
      </c>
      <c r="G11" s="7">
        <f>F11*(1+G25)</f>
        <v/>
      </c>
      <c r="H11" s="7">
        <f>G11*(1+H25)</f>
        <v/>
      </c>
      <c r="I11" s="7">
        <f>H11*(1+I25)</f>
        <v/>
      </c>
      <c r="J11" s="7">
        <f>I11*(1+J25)</f>
        <v/>
      </c>
      <c r="K11" s="7">
        <f>J11*(1+K25)</f>
        <v/>
      </c>
    </row>
    <row r="12">
      <c r="A12" s="8" t="inlineStr">
        <is>
          <t>Total revenue</t>
        </is>
      </c>
      <c r="B12" s="9">
        <f>SUM(B6:B11)</f>
        <v/>
      </c>
      <c r="C12" s="9">
        <f>SUM(C6:C11)</f>
        <v/>
      </c>
      <c r="D12" s="9">
        <f>SUM(D6:D11)</f>
        <v/>
      </c>
      <c r="E12" s="9">
        <f>SUM(E6:E11)</f>
        <v/>
      </c>
      <c r="F12" s="9">
        <f>SUM(F6:F11)</f>
        <v/>
      </c>
      <c r="G12" s="9">
        <f>SUM(G6:G11)</f>
        <v/>
      </c>
      <c r="H12" s="9">
        <f>SUM(H6:H11)</f>
        <v/>
      </c>
      <c r="I12" s="9">
        <f>SUM(I6:I11)</f>
        <v/>
      </c>
      <c r="J12" s="9">
        <f>SUM(J6:J11)</f>
        <v/>
      </c>
      <c r="K12" s="9">
        <f>SUM(K6:K11)</f>
        <v/>
      </c>
    </row>
    <row r="13"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</row>
    <row r="14">
      <c r="A14" s="11" t="inlineStr">
        <is>
          <t>YoY growth</t>
        </is>
      </c>
      <c r="B14" s="10" t="n"/>
      <c r="C14" s="12">
        <f>C12/B12-1</f>
        <v/>
      </c>
      <c r="D14" s="12">
        <f>D12/C12-1</f>
        <v/>
      </c>
      <c r="E14" s="12">
        <f>E12/D12-1</f>
        <v/>
      </c>
      <c r="F14" s="12">
        <f>F12/E12-1</f>
        <v/>
      </c>
      <c r="G14" s="12">
        <f>G12/F12-1</f>
        <v/>
      </c>
      <c r="H14" s="12">
        <f>H12/G12-1</f>
        <v/>
      </c>
      <c r="I14" s="12">
        <f>I12/H12-1</f>
        <v/>
      </c>
      <c r="J14" s="12">
        <f>J12/I12-1</f>
        <v/>
      </c>
      <c r="K14" s="12">
        <f>K12/J12-1</f>
        <v/>
      </c>
    </row>
    <row r="15"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</row>
    <row r="16"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  <c r="K16" s="10" t="n"/>
    </row>
    <row r="17"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</row>
    <row r="18"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  <c r="K18" s="10" t="n"/>
    </row>
    <row r="19"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</row>
    <row r="20">
      <c r="B20" s="10" t="n"/>
      <c r="C20" s="10" t="n"/>
      <c r="D20" s="10" t="n"/>
      <c r="E20" s="10" t="n"/>
      <c r="F20" s="10" t="n"/>
      <c r="G20" s="10" t="n"/>
      <c r="H20" s="10" t="n"/>
      <c r="I20" s="10" t="n"/>
      <c r="J20" s="10" t="n"/>
      <c r="K20" s="10" t="n"/>
    </row>
    <row r="21"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</row>
    <row r="22"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</row>
    <row r="24">
      <c r="A24" s="3" t="inlineStr">
        <is>
          <t>Growth assumptions (driver inputs — change these to flex projections)</t>
        </is>
      </c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</row>
    <row r="25">
      <c r="A25" s="13" t="inlineStr">
        <is>
          <t>(blank cells = historical, edit FY25E+)</t>
        </is>
      </c>
      <c r="B25" s="8" t="inlineStr">
        <is>
          <t>FY20A</t>
        </is>
      </c>
      <c r="C25" s="8" t="inlineStr">
        <is>
          <t>FY21A</t>
        </is>
      </c>
      <c r="D25" s="8" t="inlineStr">
        <is>
          <t>FY22A</t>
        </is>
      </c>
      <c r="E25" s="8" t="inlineStr">
        <is>
          <t>FY23A</t>
        </is>
      </c>
      <c r="F25" s="8" t="inlineStr">
        <is>
          <t>FY24A</t>
        </is>
      </c>
      <c r="G25" s="8" t="inlineStr">
        <is>
          <t>FY25E</t>
        </is>
      </c>
      <c r="H25" s="8" t="inlineStr">
        <is>
          <t>FY26E</t>
        </is>
      </c>
      <c r="I25" s="8" t="inlineStr">
        <is>
          <t>FY27E</t>
        </is>
      </c>
      <c r="J25" s="8" t="inlineStr">
        <is>
          <t>FY28E</t>
        </is>
      </c>
      <c r="K25" s="8" t="inlineStr">
        <is>
          <t>FY29E</t>
        </is>
      </c>
    </row>
    <row r="26">
      <c r="A26" t="inlineStr">
        <is>
          <t>Spain growth</t>
        </is>
      </c>
      <c r="G26" s="14" t="n">
        <v>0.012</v>
      </c>
      <c r="H26" s="14" t="n">
        <v>0.016</v>
      </c>
      <c r="I26" s="14" t="n">
        <v>0.015</v>
      </c>
      <c r="J26" s="14" t="n">
        <v>0.019</v>
      </c>
      <c r="K26" s="14" t="n">
        <v>0.019</v>
      </c>
    </row>
    <row r="27">
      <c r="A27" t="inlineStr">
        <is>
          <t>Brazil (Vivo) growth</t>
        </is>
      </c>
      <c r="G27" s="14" t="n">
        <v>0.01</v>
      </c>
      <c r="H27" s="14" t="n">
        <v>0.014</v>
      </c>
      <c r="I27" s="14" t="n">
        <v>0.014</v>
      </c>
      <c r="J27" s="14" t="n">
        <v>0.019</v>
      </c>
      <c r="K27" s="14" t="n">
        <v>0.018</v>
      </c>
    </row>
    <row r="28">
      <c r="A28" t="inlineStr">
        <is>
          <t>Germany (O2D) growth</t>
        </is>
      </c>
      <c r="G28" s="14" t="n">
        <v>0.012</v>
      </c>
      <c r="H28" s="14" t="n">
        <v>0.011</v>
      </c>
      <c r="I28" s="14" t="n">
        <v>0.011</v>
      </c>
      <c r="J28" s="14" t="n">
        <v>0.017</v>
      </c>
      <c r="K28" s="14" t="n">
        <v>0.016</v>
      </c>
    </row>
    <row r="29">
      <c r="A29" t="inlineStr">
        <is>
          <t>UK (VMO2 50%) growth</t>
        </is>
      </c>
      <c r="G29" s="14" t="n">
        <v>0</v>
      </c>
      <c r="H29" s="14" t="n">
        <v>0.018</v>
      </c>
      <c r="I29" s="14" t="n">
        <v>0.008999999999999999</v>
      </c>
      <c r="J29" s="14" t="n">
        <v>0.018</v>
      </c>
      <c r="K29" s="14" t="n">
        <v>0.018</v>
      </c>
    </row>
    <row r="30">
      <c r="A30" t="inlineStr">
        <is>
          <t>Hispam growth</t>
        </is>
      </c>
      <c r="G30" s="14" t="n">
        <v>-0.079</v>
      </c>
      <c r="H30" s="14" t="n">
        <v>-0.08599999999999999</v>
      </c>
      <c r="I30" s="14" t="n">
        <v>-0.094</v>
      </c>
      <c r="J30" s="14" t="n">
        <v>-0.103</v>
      </c>
      <c r="K30" s="14" t="n">
        <v>-0.115</v>
      </c>
    </row>
    <row r="31">
      <c r="A31" t="inlineStr">
        <is>
          <t>Tech / Corporate growth</t>
        </is>
      </c>
      <c r="G31" s="14" t="n">
        <v>0.72</v>
      </c>
      <c r="H31" s="14" t="n">
        <v>0.5629999999999999</v>
      </c>
      <c r="I31" s="14" t="n">
        <v>0.32</v>
      </c>
      <c r="J31" s="14" t="n">
        <v>0.303</v>
      </c>
      <c r="K31" s="14" t="n">
        <v>0.233</v>
      </c>
    </row>
    <row r="34">
      <c r="A34" s="3" t="inlineStr">
        <is>
          <t>By product line (illustrative — subset of total)</t>
        </is>
      </c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t="inlineStr">
        <is>
          <t>Mobile service revenue</t>
        </is>
      </c>
      <c r="B35" s="15" t="n">
        <v>18900</v>
      </c>
      <c r="C35" s="15" t="n">
        <v>18200</v>
      </c>
      <c r="D35" s="15" t="n">
        <v>18500</v>
      </c>
      <c r="E35" s="15" t="n">
        <v>18650</v>
      </c>
      <c r="F35" s="15" t="n">
        <v>18950</v>
      </c>
      <c r="G35" s="15" t="n">
        <v>19200</v>
      </c>
      <c r="H35" s="15" t="n">
        <v>19650</v>
      </c>
      <c r="I35" s="15" t="n">
        <v>20100</v>
      </c>
      <c r="J35" s="15" t="n">
        <v>20550</v>
      </c>
      <c r="K35" s="15" t="n">
        <v>21000</v>
      </c>
    </row>
    <row r="36">
      <c r="A36" t="inlineStr">
        <is>
          <t>Fixed broadband</t>
        </is>
      </c>
      <c r="B36" s="15" t="n">
        <v>8600</v>
      </c>
      <c r="C36" s="15" t="n">
        <v>8800</v>
      </c>
      <c r="D36" s="15" t="n">
        <v>9000</v>
      </c>
      <c r="E36" s="15" t="n">
        <v>9200</v>
      </c>
      <c r="F36" s="15" t="n">
        <v>9350</v>
      </c>
      <c r="G36" s="15" t="n">
        <v>9500</v>
      </c>
      <c r="H36" s="15" t="n">
        <v>9650</v>
      </c>
      <c r="I36" s="15" t="n">
        <v>9850</v>
      </c>
      <c r="J36" s="15" t="n">
        <v>10050</v>
      </c>
      <c r="K36" s="15" t="n">
        <v>10250</v>
      </c>
    </row>
    <row r="37">
      <c r="A37" t="inlineStr">
        <is>
          <t>TV / convergence</t>
        </is>
      </c>
      <c r="B37" s="15" t="n">
        <v>4150</v>
      </c>
      <c r="C37" s="15" t="n">
        <v>4250</v>
      </c>
      <c r="D37" s="15" t="n">
        <v>4350</v>
      </c>
      <c r="E37" s="15" t="n">
        <v>4400</v>
      </c>
      <c r="F37" s="15" t="n">
        <v>4400</v>
      </c>
      <c r="G37" s="15" t="n">
        <v>4450</v>
      </c>
      <c r="H37" s="15" t="n">
        <v>4500</v>
      </c>
      <c r="I37" s="15" t="n">
        <v>4600</v>
      </c>
      <c r="J37" s="15" t="n">
        <v>4700</v>
      </c>
      <c r="K37" s="15" t="n">
        <v>4800</v>
      </c>
    </row>
    <row r="38">
      <c r="A38" t="inlineStr">
        <is>
          <t>B2B / enterprise</t>
        </is>
      </c>
      <c r="B38" s="15" t="n">
        <v>6200</v>
      </c>
      <c r="C38" s="15" t="n">
        <v>6400</v>
      </c>
      <c r="D38" s="15" t="n">
        <v>6600</v>
      </c>
      <c r="E38" s="15" t="n">
        <v>6800</v>
      </c>
      <c r="F38" s="15" t="n">
        <v>6800</v>
      </c>
      <c r="G38" s="15" t="n">
        <v>6900</v>
      </c>
      <c r="H38" s="15" t="n">
        <v>7000</v>
      </c>
      <c r="I38" s="15" t="n">
        <v>7100</v>
      </c>
      <c r="J38" s="15" t="n">
        <v>7300</v>
      </c>
      <c r="K38" s="15" t="n">
        <v>7500</v>
      </c>
    </row>
    <row r="39">
      <c r="A39" t="inlineStr">
        <is>
          <t>Equipment + other</t>
        </is>
      </c>
      <c r="B39" s="15" t="n">
        <v>2350</v>
      </c>
      <c r="C39" s="15" t="n">
        <v>2350</v>
      </c>
      <c r="D39" s="15" t="n">
        <v>2400</v>
      </c>
      <c r="E39" s="15" t="n">
        <v>2415</v>
      </c>
      <c r="F39" s="15" t="n">
        <v>2400</v>
      </c>
      <c r="G39" s="15" t="n">
        <v>2500</v>
      </c>
      <c r="H39" s="15" t="n">
        <v>2550</v>
      </c>
      <c r="I39" s="15" t="n">
        <v>2500</v>
      </c>
      <c r="J39" s="15" t="n">
        <v>2450</v>
      </c>
      <c r="K39" s="15" t="n">
        <v>2400</v>
      </c>
    </row>
  </sheetData>
  <mergeCells count="1">
    <mergeCell ref="A1:L1"/>
  </mergeCells>
  <pageMargins left="0.75" right="0.75" top="1" bottom="1" header="0.5" footer="0.5"/>
  <legacyDrawing xmlns:r="http://schemas.openxmlformats.org/officeDocument/2006/relationships" r:id="anysvml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32" t="inlineStr">
        <is>
          <t>TEF — Valuation Summary (Football Field)</t>
        </is>
      </c>
    </row>
    <row r="3">
      <c r="A3" s="8" t="inlineStr">
        <is>
          <t>Method</t>
        </is>
      </c>
      <c r="B3" s="2" t="inlineStr">
        <is>
          <t>Low (€)</t>
        </is>
      </c>
      <c r="C3" s="2" t="inlineStr">
        <is>
          <t>High (€)</t>
        </is>
      </c>
      <c r="D3" s="2" t="inlineStr">
        <is>
          <t>Mid (€)</t>
        </is>
      </c>
      <c r="E3" s="2" t="inlineStr">
        <is>
          <t>Weight</t>
        </is>
      </c>
      <c r="F3" s="2" t="inlineStr">
        <is>
          <t>Contribution</t>
        </is>
      </c>
    </row>
    <row r="4">
      <c r="A4" t="inlineStr">
        <is>
          <t>DCF (WACC range 8.5–9.5%)</t>
        </is>
      </c>
      <c r="B4" s="45" t="n">
        <v>4.55</v>
      </c>
      <c r="C4" s="45" t="n">
        <v>5.95</v>
      </c>
      <c r="D4" s="45" t="n">
        <v>5.35</v>
      </c>
      <c r="E4" s="45">
        <f>D4*E4</f>
        <v/>
      </c>
    </row>
    <row r="5">
      <c r="A5" t="inlineStr">
        <is>
          <t>Comps (peer 50th–75th pctile)</t>
        </is>
      </c>
      <c r="B5" s="45" t="n">
        <v>3.1</v>
      </c>
      <c r="C5" s="45" t="n">
        <v>4.65</v>
      </c>
      <c r="D5" s="45" t="n">
        <v>4.65</v>
      </c>
      <c r="E5" s="45">
        <f>D5*E5</f>
        <v/>
      </c>
    </row>
    <row r="6">
      <c r="A6" t="inlineStr">
        <is>
          <t>Sum-of-parts (incl. VMO2 opt)</t>
        </is>
      </c>
      <c r="B6" s="45" t="n">
        <v>4.85</v>
      </c>
      <c r="C6" s="45" t="n">
        <v>5.85</v>
      </c>
      <c r="D6" s="45" t="n">
        <v>5.35</v>
      </c>
      <c r="E6" s="45">
        <f>D6*E6</f>
        <v/>
      </c>
    </row>
    <row r="7">
      <c r="A7" t="inlineStr">
        <is>
          <t>52-week historical range</t>
        </is>
      </c>
      <c r="B7" s="45" t="n">
        <v>3.1</v>
      </c>
      <c r="C7" s="45" t="n">
        <v>4.2</v>
      </c>
      <c r="D7" s="45" t="n">
        <v>3.8</v>
      </c>
    </row>
    <row r="8">
      <c r="A8" t="inlineStr">
        <is>
          <t>Sell-side consensus (n=20)</t>
        </is>
      </c>
      <c r="B8" s="45" t="n">
        <v>4</v>
      </c>
      <c r="C8" s="45" t="n">
        <v>5.2</v>
      </c>
      <c r="D8" s="45" t="n">
        <v>4.65</v>
      </c>
    </row>
    <row r="10">
      <c r="A10" s="2" t="inlineStr">
        <is>
          <t>BLENDED PRICE TARGET</t>
        </is>
      </c>
      <c r="F10" s="35">
        <f>SUM(F4:F8)</f>
        <v/>
      </c>
    </row>
    <row r="12">
      <c r="A12" t="inlineStr">
        <is>
          <t>Current price (€)</t>
        </is>
      </c>
      <c r="B12" s="46" t="n">
        <v>3.5</v>
      </c>
    </row>
    <row r="13">
      <c r="A13" s="8" t="inlineStr">
        <is>
          <t>Upside to PT</t>
        </is>
      </c>
      <c r="B13" s="47">
        <f>F10/B12-1</f>
        <v/>
      </c>
    </row>
    <row r="15">
      <c r="A15" s="8" t="inlineStr">
        <is>
          <t>Recommendation</t>
        </is>
      </c>
      <c r="B15" s="48" t="inlineStr">
        <is>
          <t>BUY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2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>
      <c r="A1" s="1" t="inlineStr">
        <is>
          <t>TEF — Income Statement (€ millions)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FY25E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</row>
    <row r="5">
      <c r="A5" s="8" t="inlineStr">
        <is>
          <t>Revenue</t>
        </is>
      </c>
      <c r="B5" s="16">
        <f>Revenue_Model!B12</f>
        <v/>
      </c>
      <c r="C5" s="16">
        <f>Revenue_Model!C12</f>
        <v/>
      </c>
      <c r="D5" s="16">
        <f>Revenue_Model!D12</f>
        <v/>
      </c>
      <c r="E5" s="16">
        <f>Revenue_Model!E12</f>
        <v/>
      </c>
      <c r="F5" s="16">
        <f>Revenue_Model!F12</f>
        <v/>
      </c>
      <c r="G5" s="16">
        <f>Revenue_Model!G12</f>
        <v/>
      </c>
      <c r="H5" s="16">
        <f>Revenue_Model!H12</f>
        <v/>
      </c>
      <c r="I5" s="16">
        <f>Revenue_Model!I12</f>
        <v/>
      </c>
      <c r="J5" s="16">
        <f>Revenue_Model!J12</f>
        <v/>
      </c>
      <c r="K5" s="16">
        <f>Revenue_Model!K12</f>
        <v/>
      </c>
    </row>
    <row r="6">
      <c r="A6" t="inlineStr">
        <is>
          <t>Cost of revenue</t>
        </is>
      </c>
      <c r="B6" s="17" t="n">
        <v>-13414</v>
      </c>
      <c r="C6" s="17" t="n">
        <v>-12258</v>
      </c>
      <c r="D6" s="17" t="n">
        <v>-12941</v>
      </c>
      <c r="E6" s="17" t="n">
        <v>-20418</v>
      </c>
      <c r="F6" s="17" t="n">
        <v>-12557</v>
      </c>
      <c r="G6" s="18">
        <f>-G5*0.305</f>
        <v/>
      </c>
      <c r="H6" s="18">
        <f>-H5*0.305</f>
        <v/>
      </c>
      <c r="I6" s="18">
        <f>-I5*0.305</f>
        <v/>
      </c>
      <c r="J6" s="18">
        <f>-J5*0.305</f>
        <v/>
      </c>
      <c r="K6" s="18">
        <f>-K5*0.305</f>
        <v/>
      </c>
    </row>
    <row r="7">
      <c r="A7" s="8" t="inlineStr">
        <is>
          <t>Gross profit</t>
        </is>
      </c>
      <c r="B7" s="16">
        <f>B5+B6</f>
        <v/>
      </c>
      <c r="C7" s="16">
        <f>C5+C6</f>
        <v/>
      </c>
      <c r="D7" s="16">
        <f>D5+D6</f>
        <v/>
      </c>
      <c r="E7" s="16">
        <f>E5+E6</f>
        <v/>
      </c>
      <c r="F7" s="16">
        <f>F5+F6</f>
        <v/>
      </c>
      <c r="G7" s="16">
        <f>G5+G6</f>
        <v/>
      </c>
      <c r="H7" s="16">
        <f>H5+H6</f>
        <v/>
      </c>
      <c r="I7" s="16">
        <f>I5+I6</f>
        <v/>
      </c>
      <c r="J7" s="16">
        <f>J5+J6</f>
        <v/>
      </c>
      <c r="K7" s="16">
        <f>K5+K6</f>
        <v/>
      </c>
    </row>
    <row r="8">
      <c r="A8" t="inlineStr">
        <is>
          <t>Selling, general &amp; admin</t>
        </is>
      </c>
      <c r="B8" s="17" t="n">
        <v>-10300</v>
      </c>
      <c r="C8" s="17" t="n">
        <v>-10400</v>
      </c>
      <c r="D8" s="17" t="n">
        <v>-10500</v>
      </c>
      <c r="E8" s="17" t="n">
        <v>-10650</v>
      </c>
      <c r="F8" s="17" t="n">
        <v>-10800</v>
      </c>
      <c r="G8" s="18">
        <f>-G5*0.262</f>
        <v/>
      </c>
      <c r="H8" s="18">
        <f>-H5*0.262</f>
        <v/>
      </c>
      <c r="I8" s="18">
        <f>-I5*0.262</f>
        <v/>
      </c>
      <c r="J8" s="18">
        <f>-J5*0.262</f>
        <v/>
      </c>
      <c r="K8" s="18">
        <f>-K5*0.262</f>
        <v/>
      </c>
    </row>
    <row r="9">
      <c r="A9" t="inlineStr">
        <is>
          <t>Other opex (incl. impairments)</t>
        </is>
      </c>
      <c r="B9" s="17" t="n">
        <v>-13367</v>
      </c>
      <c r="C9" s="17" t="n">
        <v>-3855</v>
      </c>
      <c r="D9" s="17" t="n">
        <v>-12496</v>
      </c>
      <c r="E9" s="17" t="n">
        <v>-6991</v>
      </c>
      <c r="F9" s="17" t="n">
        <v>-15563</v>
      </c>
      <c r="G9" s="18">
        <f>-G5*0.367</f>
        <v/>
      </c>
      <c r="H9" s="18">
        <f>-H5*0.367</f>
        <v/>
      </c>
      <c r="I9" s="18">
        <f>-I5*0.367</f>
        <v/>
      </c>
      <c r="J9" s="18">
        <f>-J5*0.367</f>
        <v/>
      </c>
      <c r="K9" s="18">
        <f>-K5*0.367</f>
        <v/>
      </c>
    </row>
    <row r="10">
      <c r="A10" s="8" t="inlineStr">
        <is>
          <t>EBITDA</t>
        </is>
      </c>
      <c r="B10" s="19">
        <f>B5+B6+B8+B9</f>
        <v/>
      </c>
      <c r="C10" s="19">
        <f>C5+C6+C8+C9</f>
        <v/>
      </c>
      <c r="D10" s="19">
        <f>D5+D6+D8+D9</f>
        <v/>
      </c>
      <c r="E10" s="19">
        <f>E5+E6+E8+E9</f>
        <v/>
      </c>
      <c r="F10" s="19">
        <f>F5+F6+F8+F9</f>
        <v/>
      </c>
      <c r="G10" s="19">
        <f>G5+G6+G8+G9</f>
        <v/>
      </c>
      <c r="H10" s="19">
        <f>H5+H6+H8+H9</f>
        <v/>
      </c>
      <c r="I10" s="19">
        <f>I5+I6+I8+I9</f>
        <v/>
      </c>
      <c r="J10" s="19">
        <f>J5+J6+J8+J9</f>
        <v/>
      </c>
      <c r="K10" s="19">
        <f>K5+K6+K8+K9</f>
        <v/>
      </c>
    </row>
    <row r="11">
      <c r="A11" s="11" t="inlineStr">
        <is>
          <t>EBITDA margin</t>
        </is>
      </c>
      <c r="B11" s="20">
        <f>B10/B5</f>
        <v/>
      </c>
      <c r="C11" s="20">
        <f>C10/C5</f>
        <v/>
      </c>
      <c r="D11" s="20">
        <f>D10/D5</f>
        <v/>
      </c>
      <c r="E11" s="20">
        <f>E10/E5</f>
        <v/>
      </c>
      <c r="F11" s="20">
        <f>F10/F5</f>
        <v/>
      </c>
      <c r="G11" s="20">
        <f>G10/G5</f>
        <v/>
      </c>
      <c r="H11" s="20">
        <f>H10/H5</f>
        <v/>
      </c>
      <c r="I11" s="20">
        <f>I10/I5</f>
        <v/>
      </c>
      <c r="J11" s="20">
        <f>J10/J5</f>
        <v/>
      </c>
      <c r="K11" s="20">
        <f>K10/K5</f>
        <v/>
      </c>
    </row>
    <row r="12">
      <c r="A12" t="inlineStr">
        <is>
          <t>Depreciation &amp; amortisation</t>
        </is>
      </c>
      <c r="B12" s="17" t="n">
        <v>-8200</v>
      </c>
      <c r="C12" s="17" t="n">
        <v>-8400</v>
      </c>
      <c r="D12" s="17" t="n">
        <v>-8796</v>
      </c>
      <c r="E12" s="17" t="n">
        <v>-8797</v>
      </c>
      <c r="F12" s="17" t="n">
        <v>-8799</v>
      </c>
      <c r="G12" s="18">
        <f>-G5*0.22</f>
        <v/>
      </c>
      <c r="H12" s="18">
        <f>-H5*0.22</f>
        <v/>
      </c>
      <c r="I12" s="18">
        <f>-I5*0.215</f>
        <v/>
      </c>
      <c r="J12" s="18">
        <f>-J5*0.21</f>
        <v/>
      </c>
      <c r="K12" s="18">
        <f>-K5*0.205</f>
        <v/>
      </c>
    </row>
    <row r="13">
      <c r="A13" s="8" t="inlineStr">
        <is>
          <t>EBIT (Operating income)</t>
        </is>
      </c>
      <c r="B13" s="16">
        <f>B10+B12</f>
        <v/>
      </c>
      <c r="C13" s="16">
        <f>C10+C12</f>
        <v/>
      </c>
      <c r="D13" s="16">
        <f>D10+D12</f>
        <v/>
      </c>
      <c r="E13" s="16">
        <f>E10+E12</f>
        <v/>
      </c>
      <c r="F13" s="16">
        <f>F10+F12</f>
        <v/>
      </c>
      <c r="G13" s="16">
        <f>G10+G12</f>
        <v/>
      </c>
      <c r="H13" s="16">
        <f>H10+H12</f>
        <v/>
      </c>
      <c r="I13" s="16">
        <f>I10+I12</f>
        <v/>
      </c>
      <c r="J13" s="16">
        <f>J10+J12</f>
        <v/>
      </c>
      <c r="K13" s="16">
        <f>K10+K12</f>
        <v/>
      </c>
    </row>
    <row r="14">
      <c r="A14" t="inlineStr">
        <is>
          <t>Net interest expense</t>
        </is>
      </c>
      <c r="B14" s="17" t="n">
        <v>-1750</v>
      </c>
      <c r="C14" s="17" t="n">
        <v>-1820</v>
      </c>
      <c r="D14" s="17" t="n">
        <v>-1890</v>
      </c>
      <c r="E14" s="17" t="n">
        <v>-1950</v>
      </c>
      <c r="F14" s="17" t="n">
        <v>-2150</v>
      </c>
      <c r="G14" s="17" t="n">
        <v>-2000</v>
      </c>
      <c r="H14" s="17" t="n">
        <v>-1850</v>
      </c>
      <c r="I14" s="17" t="n">
        <v>-1700</v>
      </c>
      <c r="J14" s="17" t="n">
        <v>-1550</v>
      </c>
      <c r="K14" s="17" t="n">
        <v>-1400</v>
      </c>
    </row>
    <row r="15">
      <c r="A15" t="inlineStr">
        <is>
          <t>Other (gains/losses)</t>
        </is>
      </c>
      <c r="B15" s="17" t="n">
        <v>200</v>
      </c>
      <c r="C15" s="17" t="n">
        <v>150</v>
      </c>
      <c r="D15" s="17" t="n">
        <v>480</v>
      </c>
      <c r="E15" s="17" t="n">
        <v>250</v>
      </c>
      <c r="F15" s="17" t="n">
        <v>-350</v>
      </c>
      <c r="G15" s="17" t="n">
        <v>100</v>
      </c>
      <c r="H15" s="17" t="n">
        <v>100</v>
      </c>
      <c r="I15" s="17" t="n">
        <v>100</v>
      </c>
      <c r="J15" s="17" t="n">
        <v>100</v>
      </c>
      <c r="K15" s="17" t="n">
        <v>100</v>
      </c>
    </row>
    <row r="16">
      <c r="A16" t="inlineStr">
        <is>
          <t>Pre-tax income</t>
        </is>
      </c>
      <c r="B16" s="18">
        <f>B13+B14+B15</f>
        <v/>
      </c>
      <c r="C16" s="18">
        <f>C13+C14+C15</f>
        <v/>
      </c>
      <c r="D16" s="18">
        <f>D13+D14+D15</f>
        <v/>
      </c>
      <c r="E16" s="18">
        <f>E13+E14+E15</f>
        <v/>
      </c>
      <c r="F16" s="18">
        <f>F13+F14+F15</f>
        <v/>
      </c>
      <c r="G16" s="18">
        <f>G13+G14+G15</f>
        <v/>
      </c>
      <c r="H16" s="18">
        <f>H13+H14+H15</f>
        <v/>
      </c>
      <c r="I16" s="18">
        <f>I13+I14+I15</f>
        <v/>
      </c>
      <c r="J16" s="18">
        <f>J13+J14+J15</f>
        <v/>
      </c>
      <c r="K16" s="18">
        <f>K13+K14+K15</f>
        <v/>
      </c>
    </row>
    <row r="17">
      <c r="A17" t="inlineStr">
        <is>
          <t>Tax provision</t>
        </is>
      </c>
      <c r="B17" s="18">
        <f>-B16*0.22</f>
        <v/>
      </c>
      <c r="C17" s="18">
        <f>-C16*0.22</f>
        <v/>
      </c>
      <c r="D17" s="18">
        <f>-D16*0.22</f>
        <v/>
      </c>
      <c r="E17" s="18">
        <f>-E16*0.22</f>
        <v/>
      </c>
      <c r="F17" s="18">
        <f>-F16*0.22</f>
        <v/>
      </c>
      <c r="G17" s="18">
        <f>-G16*0.22</f>
        <v/>
      </c>
      <c r="H17" s="18">
        <f>-H16*0.22</f>
        <v/>
      </c>
      <c r="I17" s="18">
        <f>-I16*0.22</f>
        <v/>
      </c>
      <c r="J17" s="18">
        <f>-J16*0.22</f>
        <v/>
      </c>
      <c r="K17" s="18">
        <f>-K16*0.22</f>
        <v/>
      </c>
    </row>
    <row r="18">
      <c r="A18" t="inlineStr">
        <is>
          <t>Minority interest</t>
        </is>
      </c>
      <c r="B18" s="17" t="n">
        <v>-650</v>
      </c>
      <c r="C18" s="17" t="n">
        <v>-700</v>
      </c>
      <c r="D18" s="17" t="n">
        <v>-1561</v>
      </c>
      <c r="E18" s="17" t="n">
        <v>-383</v>
      </c>
      <c r="F18" s="17" t="n">
        <v>-854</v>
      </c>
      <c r="G18" s="17" t="n">
        <v>-700</v>
      </c>
      <c r="H18" s="17" t="n">
        <v>-700</v>
      </c>
      <c r="I18" s="17" t="n">
        <v>-700</v>
      </c>
      <c r="J18" s="17" t="n">
        <v>-700</v>
      </c>
      <c r="K18" s="17" t="n">
        <v>-700</v>
      </c>
    </row>
    <row r="19">
      <c r="A19" s="8" t="inlineStr">
        <is>
          <t>Net income</t>
        </is>
      </c>
      <c r="B19" s="19">
        <f>B16+B17+B18</f>
        <v/>
      </c>
      <c r="C19" s="19">
        <f>C16+C17+C18</f>
        <v/>
      </c>
      <c r="D19" s="19">
        <f>D16+D17+D18</f>
        <v/>
      </c>
      <c r="E19" s="19">
        <f>E16+E17+E18</f>
        <v/>
      </c>
      <c r="F19" s="19">
        <f>F16+F17+F18</f>
        <v/>
      </c>
      <c r="G19" s="19">
        <f>G16+G17+G18</f>
        <v/>
      </c>
      <c r="H19" s="19">
        <f>H16+H17+H18</f>
        <v/>
      </c>
      <c r="I19" s="19">
        <f>I16+I17+I18</f>
        <v/>
      </c>
      <c r="J19" s="19">
        <f>J16+J17+J18</f>
        <v/>
      </c>
      <c r="K19" s="19">
        <f>K16+K17+K18</f>
        <v/>
      </c>
    </row>
    <row r="21">
      <c r="A21" t="inlineStr">
        <is>
          <t>Diluted shares (millions)</t>
        </is>
      </c>
      <c r="B21" s="6" t="n">
        <v>5765</v>
      </c>
      <c r="C21" s="6" t="n">
        <v>5765</v>
      </c>
      <c r="D21" s="6" t="n">
        <v>5765</v>
      </c>
      <c r="E21" s="6" t="n">
        <v>5738</v>
      </c>
      <c r="F21" s="6" t="n">
        <v>5710</v>
      </c>
      <c r="G21" s="6" t="n">
        <v>5700</v>
      </c>
      <c r="H21" s="6" t="n">
        <v>5680</v>
      </c>
      <c r="I21" s="6" t="n">
        <v>5650</v>
      </c>
      <c r="J21" s="6" t="n">
        <v>5620</v>
      </c>
      <c r="K21" s="6" t="n">
        <v>5600</v>
      </c>
    </row>
    <row r="22">
      <c r="A22" s="8" t="inlineStr">
        <is>
          <t>EPS (€)</t>
        </is>
      </c>
      <c r="B22" s="21">
        <f>B19/B21</f>
        <v/>
      </c>
      <c r="C22" s="21">
        <f>C19/C21</f>
        <v/>
      </c>
      <c r="D22" s="21">
        <f>D19/D21</f>
        <v/>
      </c>
      <c r="E22" s="21">
        <f>E19/E21</f>
        <v/>
      </c>
      <c r="F22" s="21">
        <f>F19/F21</f>
        <v/>
      </c>
      <c r="G22" s="21">
        <f>G19/G21</f>
        <v/>
      </c>
      <c r="H22" s="21">
        <f>H19/H21</f>
        <v/>
      </c>
      <c r="I22" s="21">
        <f>I19/I21</f>
        <v/>
      </c>
      <c r="J22" s="21">
        <f>J19/J21</f>
        <v/>
      </c>
      <c r="K22" s="21">
        <f>K19/K21</f>
        <v/>
      </c>
    </row>
  </sheetData>
  <mergeCells count="1">
    <mergeCell ref="A1:K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6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>
      <c r="A1" s="1" t="inlineStr">
        <is>
          <t>TEF — Cash Flow Statement (€ millions)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FY25E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</row>
    <row r="5">
      <c r="A5" s="8" t="inlineStr">
        <is>
          <t>Net income</t>
        </is>
      </c>
      <c r="B5" s="18">
        <f>Income_Statement!B19</f>
        <v/>
      </c>
      <c r="C5" s="18">
        <f>Income_Statement!C19</f>
        <v/>
      </c>
      <c r="D5" s="18">
        <f>Income_Statement!D19</f>
        <v/>
      </c>
      <c r="E5" s="18">
        <f>Income_Statement!E19</f>
        <v/>
      </c>
      <c r="F5" s="18">
        <f>Income_Statement!F19</f>
        <v/>
      </c>
      <c r="G5" s="18">
        <f>Income_Statement!G19</f>
        <v/>
      </c>
      <c r="H5" s="18">
        <f>Income_Statement!H19</f>
        <v/>
      </c>
      <c r="I5" s="18">
        <f>Income_Statement!I19</f>
        <v/>
      </c>
      <c r="J5" s="18">
        <f>Income_Statement!J19</f>
        <v/>
      </c>
      <c r="K5" s="18">
        <f>Income_Statement!K19</f>
        <v/>
      </c>
    </row>
    <row r="6">
      <c r="A6" t="inlineStr">
        <is>
          <t>Add: D&amp;A</t>
        </is>
      </c>
      <c r="B6" s="18">
        <f>-Income_Statement!B12</f>
        <v/>
      </c>
      <c r="C6" s="18">
        <f>-Income_Statement!C12</f>
        <v/>
      </c>
      <c r="D6" s="18">
        <f>-Income_Statement!D12</f>
        <v/>
      </c>
      <c r="E6" s="18">
        <f>-Income_Statement!E12</f>
        <v/>
      </c>
      <c r="F6" s="18">
        <f>-Income_Statement!F12</f>
        <v/>
      </c>
      <c r="G6" s="18">
        <f>-Income_Statement!G12</f>
        <v/>
      </c>
      <c r="H6" s="18">
        <f>-Income_Statement!H12</f>
        <v/>
      </c>
      <c r="I6" s="18">
        <f>-Income_Statement!I12</f>
        <v/>
      </c>
      <c r="J6" s="18">
        <f>-Income_Statement!J12</f>
        <v/>
      </c>
      <c r="K6" s="18">
        <f>-Income_Statement!K12</f>
        <v/>
      </c>
    </row>
    <row r="7">
      <c r="A7" t="inlineStr">
        <is>
          <t>Change in working capital</t>
        </is>
      </c>
      <c r="B7" s="17" t="n">
        <v>-150</v>
      </c>
      <c r="C7" s="17" t="n">
        <v>200</v>
      </c>
      <c r="D7" s="17" t="n">
        <v>-200</v>
      </c>
      <c r="E7" s="17" t="n">
        <v>250</v>
      </c>
      <c r="F7" s="17" t="n">
        <v>100</v>
      </c>
      <c r="G7" s="18">
        <f>-(Income_Statement!G5-Income_Statement!F5)*0.05</f>
        <v/>
      </c>
      <c r="H7" s="18">
        <f>-(Income_Statement!H5-Income_Statement!G5)*0.05</f>
        <v/>
      </c>
      <c r="I7" s="18">
        <f>-(Income_Statement!I5-Income_Statement!H5)*0.05</f>
        <v/>
      </c>
      <c r="J7" s="18">
        <f>-(Income_Statement!J5-Income_Statement!I5)*0.05</f>
        <v/>
      </c>
      <c r="K7" s="18">
        <f>-(Income_Statement!K5-Income_Statement!J5)*0.05</f>
        <v/>
      </c>
    </row>
    <row r="8">
      <c r="A8" t="inlineStr">
        <is>
          <t>Other non-cash items</t>
        </is>
      </c>
      <c r="B8" s="17" t="n">
        <v>-1100</v>
      </c>
      <c r="C8" s="17" t="n">
        <v>-1900</v>
      </c>
      <c r="D8" s="17" t="n">
        <v>-1358</v>
      </c>
      <c r="E8" s="17" t="n">
        <v>3112</v>
      </c>
      <c r="F8" s="17" t="n">
        <v>1286</v>
      </c>
      <c r="G8" s="17" t="n">
        <v>350</v>
      </c>
      <c r="H8" s="17" t="n">
        <v>350</v>
      </c>
      <c r="I8" s="17" t="n">
        <v>350</v>
      </c>
      <c r="J8" s="17" t="n">
        <v>350</v>
      </c>
      <c r="K8" s="17" t="n">
        <v>350</v>
      </c>
    </row>
    <row r="9">
      <c r="A9" s="8" t="inlineStr">
        <is>
          <t>Operating cash flow</t>
        </is>
      </c>
      <c r="B9" s="19">
        <f>SUM(B5:B8)</f>
        <v/>
      </c>
      <c r="C9" s="19">
        <f>SUM(C5:C8)</f>
        <v/>
      </c>
      <c r="D9" s="19">
        <f>SUM(D5:D8)</f>
        <v/>
      </c>
      <c r="E9" s="19">
        <f>SUM(E5:E8)</f>
        <v/>
      </c>
      <c r="F9" s="19">
        <f>SUM(F5:F8)</f>
        <v/>
      </c>
      <c r="G9" s="19">
        <f>SUM(G5:G8)</f>
        <v/>
      </c>
      <c r="H9" s="19">
        <f>SUM(H5:H8)</f>
        <v/>
      </c>
      <c r="I9" s="19">
        <f>SUM(I5:I8)</f>
        <v/>
      </c>
      <c r="J9" s="19">
        <f>SUM(J5:J8)</f>
        <v/>
      </c>
      <c r="K9" s="19">
        <f>SUM(K5:K8)</f>
        <v/>
      </c>
    </row>
    <row r="10">
      <c r="A10" t="inlineStr">
        <is>
          <t>Capital expenditure</t>
        </is>
      </c>
      <c r="B10" s="17" t="n">
        <v>-7020</v>
      </c>
      <c r="C10" s="17" t="n">
        <v>-6820</v>
      </c>
      <c r="D10" s="17" t="n">
        <v>-6620</v>
      </c>
      <c r="E10" s="17" t="n">
        <v>-6420</v>
      </c>
      <c r="F10" s="17" t="n">
        <v>-6220</v>
      </c>
      <c r="G10" s="18">
        <f>-Income_Statement!G5*0.135</f>
        <v/>
      </c>
      <c r="H10" s="18">
        <f>-Income_Statement!H5*0.13</f>
        <v/>
      </c>
      <c r="I10" s="18">
        <f>-Income_Statement!I5*0.125</f>
        <v/>
      </c>
      <c r="J10" s="18">
        <f>-Income_Statement!J5*0.12</f>
        <v/>
      </c>
      <c r="K10" s="18">
        <f>-Income_Statement!K5*0.12</f>
        <v/>
      </c>
    </row>
    <row r="11">
      <c r="A11" s="8" t="inlineStr">
        <is>
          <t>Free cash flow</t>
        </is>
      </c>
      <c r="B11" s="19">
        <f>B9+B10</f>
        <v/>
      </c>
      <c r="C11" s="19">
        <f>C9+C10</f>
        <v/>
      </c>
      <c r="D11" s="19">
        <f>D9+D10</f>
        <v/>
      </c>
      <c r="E11" s="19">
        <f>E9+E10</f>
        <v/>
      </c>
      <c r="F11" s="19">
        <f>F9+F10</f>
        <v/>
      </c>
      <c r="G11" s="19">
        <f>G9+G10</f>
        <v/>
      </c>
      <c r="H11" s="19">
        <f>H9+H10</f>
        <v/>
      </c>
      <c r="I11" s="19">
        <f>I9+I10</f>
        <v/>
      </c>
      <c r="J11" s="19">
        <f>J9+J10</f>
        <v/>
      </c>
      <c r="K11" s="19">
        <f>K9+K10</f>
        <v/>
      </c>
    </row>
    <row r="12"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</row>
    <row r="13">
      <c r="A13" t="inlineStr">
        <is>
          <t>Dividends paid</t>
        </is>
      </c>
      <c r="B13" s="17" t="n">
        <v>-1300</v>
      </c>
      <c r="C13" s="17" t="n">
        <v>-3630</v>
      </c>
      <c r="D13" s="17" t="n">
        <v>-1400</v>
      </c>
      <c r="E13" s="17" t="n">
        <v>-1700</v>
      </c>
      <c r="F13" s="17" t="n">
        <v>-1760</v>
      </c>
      <c r="G13" s="17" t="n">
        <v>-1710</v>
      </c>
      <c r="H13" s="17" t="n">
        <v>-1750</v>
      </c>
      <c r="I13" s="17" t="n">
        <v>-1820</v>
      </c>
      <c r="J13" s="17" t="n">
        <v>-1920</v>
      </c>
      <c r="K13" s="17" t="n">
        <v>-2030</v>
      </c>
    </row>
    <row r="14">
      <c r="A14" t="inlineStr">
        <is>
          <t>Share buybacks</t>
        </is>
      </c>
      <c r="B14" s="17" t="n">
        <v>0</v>
      </c>
      <c r="C14" s="17" t="n">
        <v>0</v>
      </c>
      <c r="D14" s="17" t="n">
        <v>0</v>
      </c>
      <c r="E14" s="17" t="n">
        <v>-250</v>
      </c>
      <c r="F14" s="17" t="n">
        <v>-500</v>
      </c>
      <c r="G14" s="17" t="n">
        <v>-500</v>
      </c>
      <c r="H14" s="17" t="n">
        <v>-500</v>
      </c>
      <c r="I14" s="17" t="n">
        <v>-500</v>
      </c>
      <c r="J14" s="17" t="n">
        <v>-500</v>
      </c>
      <c r="K14" s="17" t="n">
        <v>-500</v>
      </c>
    </row>
    <row r="15">
      <c r="A15" t="inlineStr">
        <is>
          <t>Net debt repaid / (issued)</t>
        </is>
      </c>
      <c r="B15" s="17" t="n">
        <v>3500</v>
      </c>
      <c r="C15" s="17" t="n">
        <v>7220</v>
      </c>
      <c r="D15" s="17" t="n">
        <v>-1200</v>
      </c>
      <c r="E15" s="17" t="n">
        <v>-2690</v>
      </c>
      <c r="F15" s="17" t="n">
        <v>-400</v>
      </c>
      <c r="G15" s="17" t="n">
        <v>1500</v>
      </c>
      <c r="H15" s="17" t="n">
        <v>2000</v>
      </c>
      <c r="I15" s="17" t="n">
        <v>2500</v>
      </c>
      <c r="J15" s="17" t="n">
        <v>3500</v>
      </c>
      <c r="K15" s="17" t="n">
        <v>3500</v>
      </c>
    </row>
    <row r="16">
      <c r="A16" s="8" t="inlineStr">
        <is>
          <t>Net change in cash</t>
        </is>
      </c>
      <c r="B16" s="16">
        <f>B11+B13+B14+B15</f>
        <v/>
      </c>
      <c r="C16" s="16">
        <f>C11+C13+C14+C15</f>
        <v/>
      </c>
      <c r="D16" s="16">
        <f>D11+D13+D14+D15</f>
        <v/>
      </c>
      <c r="E16" s="16">
        <f>E11+E13+E14+E15</f>
        <v/>
      </c>
      <c r="F16" s="16">
        <f>F11+F13+F14+F15</f>
        <v/>
      </c>
      <c r="G16" s="16">
        <f>G11+G13+G14+G15</f>
        <v/>
      </c>
      <c r="H16" s="16">
        <f>H11+H13+H14+H15</f>
        <v/>
      </c>
      <c r="I16" s="16">
        <f>I11+I13+I14+I15</f>
        <v/>
      </c>
      <c r="J16" s="16">
        <f>J11+J13+J14+J15</f>
        <v/>
      </c>
      <c r="K16" s="16">
        <f>K11+K13+K14+K15</f>
        <v/>
      </c>
    </row>
  </sheetData>
  <mergeCells count="1">
    <mergeCell ref="A1:K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>
      <c r="A1" s="1" t="inlineStr">
        <is>
          <t>TEF — Balance Sheet (€ millions, year-end)</t>
        </is>
      </c>
    </row>
    <row r="3">
      <c r="B3" s="2" t="inlineStr">
        <is>
          <t>FY20A</t>
        </is>
      </c>
      <c r="C3" s="2" t="inlineStr">
        <is>
          <t>FY21A</t>
        </is>
      </c>
      <c r="D3" s="2" t="inlineStr">
        <is>
          <t>FY22A</t>
        </is>
      </c>
      <c r="E3" s="2" t="inlineStr">
        <is>
          <t>FY23A</t>
        </is>
      </c>
      <c r="F3" s="2" t="inlineStr">
        <is>
          <t>FY24A</t>
        </is>
      </c>
      <c r="G3" s="2" t="inlineStr">
        <is>
          <t>FY25E</t>
        </is>
      </c>
      <c r="H3" s="2" t="inlineStr">
        <is>
          <t>FY26E</t>
        </is>
      </c>
      <c r="I3" s="2" t="inlineStr">
        <is>
          <t>FY27E</t>
        </is>
      </c>
      <c r="J3" s="2" t="inlineStr">
        <is>
          <t>FY28E</t>
        </is>
      </c>
      <c r="K3" s="2" t="inlineStr">
        <is>
          <t>FY29E</t>
        </is>
      </c>
    </row>
    <row r="5">
      <c r="A5" t="inlineStr">
        <is>
          <t>Cash &amp; equivalents</t>
        </is>
      </c>
      <c r="B5" s="17" t="n">
        <v>5600</v>
      </c>
      <c r="C5" s="18">
        <f>B5+Cash_Flow!C16</f>
        <v/>
      </c>
      <c r="D5" s="18">
        <f>C5+Cash_Flow!D16</f>
        <v/>
      </c>
      <c r="E5" s="18">
        <f>D5+Cash_Flow!E16</f>
        <v/>
      </c>
      <c r="F5" s="18">
        <f>E5+Cash_Flow!F16</f>
        <v/>
      </c>
      <c r="G5" s="18">
        <f>F5+Cash_Flow!G16</f>
        <v/>
      </c>
      <c r="H5" s="18">
        <f>G5+Cash_Flow!H16</f>
        <v/>
      </c>
      <c r="I5" s="18">
        <f>H5+Cash_Flow!I16</f>
        <v/>
      </c>
      <c r="J5" s="18">
        <f>I5+Cash_Flow!J16</f>
        <v/>
      </c>
      <c r="K5" s="18">
        <f>J5+Cash_Flow!K16</f>
        <v/>
      </c>
    </row>
    <row r="6">
      <c r="A6" t="inlineStr">
        <is>
          <t>PP&amp;E + intangibles (net)</t>
        </is>
      </c>
      <c r="B6" s="17" t="n">
        <v>62500</v>
      </c>
      <c r="C6" s="17" t="n">
        <v>61000</v>
      </c>
      <c r="D6" s="17" t="n">
        <v>60000</v>
      </c>
      <c r="E6" s="17" t="n">
        <v>62000</v>
      </c>
      <c r="F6" s="17" t="n">
        <v>60500</v>
      </c>
      <c r="G6" s="17" t="n">
        <v>60000</v>
      </c>
      <c r="H6" s="17" t="n">
        <v>59500</v>
      </c>
      <c r="I6" s="17" t="n">
        <v>59000</v>
      </c>
      <c r="J6" s="17" t="n">
        <v>58500</v>
      </c>
      <c r="K6" s="17" t="n">
        <v>58000</v>
      </c>
    </row>
    <row r="7">
      <c r="A7" t="inlineStr">
        <is>
          <t>Other non-current assets</t>
        </is>
      </c>
      <c r="B7" s="17" t="n">
        <v>37050</v>
      </c>
      <c r="C7" s="17" t="n">
        <v>42600</v>
      </c>
      <c r="D7" s="17" t="n">
        <v>42390</v>
      </c>
      <c r="E7" s="17" t="n">
        <v>35170</v>
      </c>
      <c r="F7" s="17" t="n">
        <v>31940</v>
      </c>
      <c r="G7" s="17" t="n">
        <v>31500</v>
      </c>
      <c r="H7" s="17" t="n">
        <v>31000</v>
      </c>
      <c r="I7" s="17" t="n">
        <v>30500</v>
      </c>
      <c r="J7" s="17" t="n">
        <v>30000</v>
      </c>
      <c r="K7" s="17" t="n">
        <v>29500</v>
      </c>
    </row>
    <row r="8">
      <c r="A8" s="8" t="inlineStr">
        <is>
          <t>Total assets</t>
        </is>
      </c>
      <c r="B8" s="19">
        <f>SUM(B5:B7)</f>
        <v/>
      </c>
      <c r="C8" s="19">
        <f>SUM(C5:C7)</f>
        <v/>
      </c>
      <c r="D8" s="19">
        <f>SUM(D5:D7)</f>
        <v/>
      </c>
      <c r="E8" s="19">
        <f>SUM(E5:E7)</f>
        <v/>
      </c>
      <c r="F8" s="19">
        <f>SUM(F5:F7)</f>
        <v/>
      </c>
      <c r="G8" s="19">
        <f>SUM(G5:G7)</f>
        <v/>
      </c>
      <c r="H8" s="19">
        <f>SUM(H5:H7)</f>
        <v/>
      </c>
      <c r="I8" s="19">
        <f>SUM(I5:I7)</f>
        <v/>
      </c>
      <c r="J8" s="19">
        <f>SUM(J5:J7)</f>
        <v/>
      </c>
      <c r="K8" s="19">
        <f>SUM(K5:K7)</f>
        <v/>
      </c>
    </row>
    <row r="9">
      <c r="B9" s="22" t="n"/>
      <c r="C9" s="22" t="n"/>
      <c r="D9" s="22" t="n"/>
      <c r="E9" s="22" t="n"/>
      <c r="F9" s="22" t="n"/>
      <c r="G9" s="22" t="n"/>
      <c r="H9" s="22" t="n"/>
      <c r="I9" s="22" t="n"/>
      <c r="J9" s="22" t="n"/>
      <c r="K9" s="22" t="n"/>
    </row>
    <row r="10">
      <c r="A10" t="inlineStr">
        <is>
          <t>Short-term debt</t>
        </is>
      </c>
      <c r="B10" s="17" t="n">
        <v>1250</v>
      </c>
      <c r="C10" s="17" t="n">
        <v>1680</v>
      </c>
      <c r="D10" s="17" t="n">
        <v>2020</v>
      </c>
      <c r="E10" s="17" t="n">
        <v>5940</v>
      </c>
      <c r="F10" s="17" t="n">
        <v>7620</v>
      </c>
      <c r="G10" s="17" t="n">
        <v>6500</v>
      </c>
      <c r="H10" s="17" t="n">
        <v>5500</v>
      </c>
      <c r="I10" s="17" t="n">
        <v>4500</v>
      </c>
      <c r="J10" s="17" t="n">
        <v>3500</v>
      </c>
      <c r="K10" s="17" t="n">
        <v>3000</v>
      </c>
    </row>
    <row r="11">
      <c r="A11" t="inlineStr">
        <is>
          <t>Long-term debt</t>
        </is>
      </c>
      <c r="B11" s="17" t="n">
        <v>38130</v>
      </c>
      <c r="C11" s="17" t="n">
        <v>33450</v>
      </c>
      <c r="D11" s="17" t="n">
        <v>33030</v>
      </c>
      <c r="E11" s="17" t="n">
        <v>31700</v>
      </c>
      <c r="F11" s="17" t="n">
        <v>31330</v>
      </c>
      <c r="G11" s="17" t="n">
        <v>30000</v>
      </c>
      <c r="H11" s="17" t="n">
        <v>28500</v>
      </c>
      <c r="I11" s="17" t="n">
        <v>27000</v>
      </c>
      <c r="J11" s="17" t="n">
        <v>25000</v>
      </c>
      <c r="K11" s="17" t="n">
        <v>23000</v>
      </c>
    </row>
    <row r="12">
      <c r="A12" t="inlineStr">
        <is>
          <t>Other liabilities</t>
        </is>
      </c>
      <c r="B12" s="17" t="n">
        <v>47410</v>
      </c>
      <c r="C12" s="17" t="n">
        <v>45400</v>
      </c>
      <c r="D12" s="17" t="n">
        <v>42880</v>
      </c>
      <c r="E12" s="17" t="n">
        <v>39590</v>
      </c>
      <c r="F12" s="17" t="n">
        <v>38800</v>
      </c>
      <c r="G12" s="17" t="n">
        <v>39000</v>
      </c>
      <c r="H12" s="17" t="n">
        <v>39500</v>
      </c>
      <c r="I12" s="17" t="n">
        <v>40000</v>
      </c>
      <c r="J12" s="17" t="n">
        <v>40500</v>
      </c>
      <c r="K12" s="17" t="n">
        <v>41000</v>
      </c>
    </row>
    <row r="13">
      <c r="A13" s="8" t="inlineStr">
        <is>
          <t>Total liabilities</t>
        </is>
      </c>
      <c r="B13" s="16">
        <f>SUM(B10:B12)</f>
        <v/>
      </c>
      <c r="C13" s="16">
        <f>SUM(C10:C12)</f>
        <v/>
      </c>
      <c r="D13" s="16">
        <f>SUM(D10:D12)</f>
        <v/>
      </c>
      <c r="E13" s="16">
        <f>SUM(E10:E12)</f>
        <v/>
      </c>
      <c r="F13" s="16">
        <f>SUM(F10:F12)</f>
        <v/>
      </c>
      <c r="G13" s="16">
        <f>SUM(G10:G12)</f>
        <v/>
      </c>
      <c r="H13" s="16">
        <f>SUM(H10:H12)</f>
        <v/>
      </c>
      <c r="I13" s="16">
        <f>SUM(I10:I12)</f>
        <v/>
      </c>
      <c r="J13" s="16">
        <f>SUM(J10:J12)</f>
        <v/>
      </c>
      <c r="K13" s="16">
        <f>SUM(K10:K12)</f>
        <v/>
      </c>
    </row>
    <row r="14">
      <c r="B14" s="22" t="n"/>
      <c r="C14" s="22" t="n"/>
      <c r="D14" s="22" t="n"/>
      <c r="E14" s="22" t="n"/>
      <c r="F14" s="22" t="n"/>
      <c r="G14" s="22" t="n"/>
      <c r="H14" s="22" t="n"/>
      <c r="I14" s="22" t="n"/>
      <c r="J14" s="22" t="n"/>
      <c r="K14" s="22" t="n"/>
    </row>
    <row r="15">
      <c r="A15" t="inlineStr">
        <is>
          <t>Common equity</t>
        </is>
      </c>
      <c r="B15" s="17" t="n">
        <v>11230</v>
      </c>
      <c r="C15" s="17" t="n">
        <v>22210</v>
      </c>
      <c r="D15" s="17" t="n">
        <v>25090</v>
      </c>
      <c r="E15" s="17" t="n">
        <v>14300</v>
      </c>
      <c r="F15" s="17" t="n">
        <v>19350</v>
      </c>
      <c r="G15" s="17" t="n">
        <v>21500</v>
      </c>
      <c r="H15" s="17" t="n">
        <v>23500</v>
      </c>
      <c r="I15" s="17" t="n">
        <v>26500</v>
      </c>
      <c r="J15" s="17" t="n">
        <v>30000</v>
      </c>
      <c r="K15" s="17" t="n">
        <v>33500</v>
      </c>
    </row>
    <row r="16">
      <c r="A16" t="inlineStr">
        <is>
          <t>Minority interest</t>
        </is>
      </c>
      <c r="B16" s="17" t="n">
        <v>11400</v>
      </c>
      <c r="C16" s="17" t="n">
        <v>8200</v>
      </c>
      <c r="D16" s="17" t="n">
        <v>6620</v>
      </c>
      <c r="E16" s="17" t="n">
        <v>12790</v>
      </c>
      <c r="F16" s="17" t="n">
        <v>3400</v>
      </c>
      <c r="G16" s="17" t="n">
        <v>4000</v>
      </c>
      <c r="H16" s="17" t="n">
        <v>4500</v>
      </c>
      <c r="I16" s="17" t="n">
        <v>4500</v>
      </c>
      <c r="J16" s="17" t="n">
        <v>5000</v>
      </c>
      <c r="K16" s="17" t="n">
        <v>5000</v>
      </c>
    </row>
    <row r="17">
      <c r="A17" s="8" t="inlineStr">
        <is>
          <t>Total equity</t>
        </is>
      </c>
      <c r="B17" s="16">
        <f>SUM(B15:B16)</f>
        <v/>
      </c>
      <c r="C17" s="16">
        <f>SUM(C15:C16)</f>
        <v/>
      </c>
      <c r="D17" s="16">
        <f>SUM(D15:D16)</f>
        <v/>
      </c>
      <c r="E17" s="16">
        <f>SUM(E15:E16)</f>
        <v/>
      </c>
      <c r="F17" s="16">
        <f>SUM(F15:F16)</f>
        <v/>
      </c>
      <c r="G17" s="16">
        <f>SUM(G15:G16)</f>
        <v/>
      </c>
      <c r="H17" s="16">
        <f>SUM(H15:H16)</f>
        <v/>
      </c>
      <c r="I17" s="16">
        <f>SUM(I15:I16)</f>
        <v/>
      </c>
      <c r="J17" s="16">
        <f>SUM(J15:J16)</f>
        <v/>
      </c>
      <c r="K17" s="16">
        <f>SUM(K15:K16)</f>
        <v/>
      </c>
    </row>
    <row r="18">
      <c r="B18" s="22" t="n"/>
      <c r="C18" s="22" t="n"/>
      <c r="D18" s="22" t="n"/>
      <c r="E18" s="22" t="n"/>
      <c r="F18" s="22" t="n"/>
      <c r="G18" s="22" t="n"/>
      <c r="H18" s="22" t="n"/>
      <c r="I18" s="22" t="n"/>
      <c r="J18" s="22" t="n"/>
      <c r="K18" s="22" t="n"/>
    </row>
    <row r="19">
      <c r="A19" s="8" t="inlineStr">
        <is>
          <t>Total liabilities + equity</t>
        </is>
      </c>
      <c r="B19" s="19">
        <f>B13+B17</f>
        <v/>
      </c>
      <c r="C19" s="19">
        <f>C13+C17</f>
        <v/>
      </c>
      <c r="D19" s="19">
        <f>D13+D17</f>
        <v/>
      </c>
      <c r="E19" s="19">
        <f>E13+E17</f>
        <v/>
      </c>
      <c r="F19" s="19">
        <f>F13+F17</f>
        <v/>
      </c>
      <c r="G19" s="19">
        <f>G13+G17</f>
        <v/>
      </c>
      <c r="H19" s="19">
        <f>H13+H17</f>
        <v/>
      </c>
      <c r="I19" s="19">
        <f>I13+I17</f>
        <v/>
      </c>
      <c r="J19" s="19">
        <f>J13+J17</f>
        <v/>
      </c>
      <c r="K19" s="19">
        <f>K13+K17</f>
        <v/>
      </c>
    </row>
    <row r="20">
      <c r="A20" s="13" t="inlineStr">
        <is>
          <t>Check (TA − TL+E, should = 0)</t>
        </is>
      </c>
      <c r="B20" s="23">
        <f>B8-B19</f>
        <v/>
      </c>
      <c r="C20" s="23">
        <f>C8-C19</f>
        <v/>
      </c>
      <c r="D20" s="23">
        <f>D8-D19</f>
        <v/>
      </c>
      <c r="E20" s="23">
        <f>E8-E19</f>
        <v/>
      </c>
      <c r="F20" s="23">
        <f>F8-F19</f>
        <v/>
      </c>
      <c r="G20" s="23">
        <f>G8-G19</f>
        <v/>
      </c>
      <c r="H20" s="23">
        <f>H8-H19</f>
        <v/>
      </c>
      <c r="I20" s="23">
        <f>I8-I19</f>
        <v/>
      </c>
      <c r="J20" s="23">
        <f>J8-J19</f>
        <v/>
      </c>
      <c r="K20" s="23">
        <f>K8-K19</f>
        <v/>
      </c>
    </row>
    <row r="21">
      <c r="B21" s="22" t="n"/>
      <c r="C21" s="22" t="n"/>
      <c r="D21" s="22" t="n"/>
      <c r="E21" s="22" t="n"/>
      <c r="F21" s="22" t="n"/>
      <c r="G21" s="22" t="n"/>
      <c r="H21" s="22" t="n"/>
      <c r="I21" s="22" t="n"/>
      <c r="J21" s="22" t="n"/>
      <c r="K21" s="22" t="n"/>
    </row>
    <row r="22">
      <c r="A22" s="8" t="inlineStr">
        <is>
          <t>Net debt</t>
        </is>
      </c>
      <c r="B22" s="19">
        <f>B10+B11-B5</f>
        <v/>
      </c>
      <c r="C22" s="19">
        <f>C10+C11-C5</f>
        <v/>
      </c>
      <c r="D22" s="19">
        <f>D10+D11-D5</f>
        <v/>
      </c>
      <c r="E22" s="19">
        <f>E10+E11-E5</f>
        <v/>
      </c>
      <c r="F22" s="19">
        <f>F10+F11-F5</f>
        <v/>
      </c>
      <c r="G22" s="19">
        <f>G10+G11-G5</f>
        <v/>
      </c>
      <c r="H22" s="19">
        <f>H10+H11-H5</f>
        <v/>
      </c>
      <c r="I22" s="19">
        <f>I10+I11-I5</f>
        <v/>
      </c>
      <c r="J22" s="19">
        <f>J10+J11-J5</f>
        <v/>
      </c>
      <c r="K22" s="19">
        <f>K10+K11-K5</f>
        <v/>
      </c>
    </row>
    <row r="23">
      <c r="A23" s="11" t="inlineStr">
        <is>
          <t>Net debt / EBITDA</t>
        </is>
      </c>
      <c r="B23" s="24">
        <f>B22/Income_Statement!B10</f>
        <v/>
      </c>
      <c r="C23" s="24">
        <f>C22/Income_Statement!C10</f>
        <v/>
      </c>
      <c r="D23" s="24">
        <f>D22/Income_Statement!D10</f>
        <v/>
      </c>
      <c r="E23" s="24">
        <f>E22/Income_Statement!E10</f>
        <v/>
      </c>
      <c r="F23" s="24">
        <f>F22/Income_Statement!F10</f>
        <v/>
      </c>
      <c r="G23" s="24">
        <f>G22/Income_Statement!G10</f>
        <v/>
      </c>
      <c r="H23" s="24">
        <f>H22/Income_Statement!H10</f>
        <v/>
      </c>
      <c r="I23" s="24">
        <f>I22/Income_Statement!I10</f>
        <v/>
      </c>
      <c r="J23" s="24">
        <f>J22/Income_Statement!J10</f>
        <v/>
      </c>
      <c r="K23" s="24">
        <f>K22/Income_Statement!K10</f>
        <v/>
      </c>
    </row>
  </sheetData>
  <mergeCells count="1">
    <mergeCell ref="A1:K1"/>
  </mergeCell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TEF — Bear / Base / Bull scenarios (FY27E)</t>
        </is>
      </c>
    </row>
    <row r="3">
      <c r="A3" s="2" t="inlineStr"/>
      <c r="B3" s="2" t="inlineStr">
        <is>
          <t>Bear</t>
        </is>
      </c>
      <c r="C3" s="2" t="inlineStr">
        <is>
          <t>Base</t>
        </is>
      </c>
      <c r="D3" s="2" t="inlineStr">
        <is>
          <t>Bull</t>
        </is>
      </c>
    </row>
    <row r="5">
      <c r="A5" t="inlineStr">
        <is>
          <t>Revenue (€m)</t>
        </is>
      </c>
      <c r="B5" s="6" t="n">
        <v>41800</v>
      </c>
      <c r="C5" s="6" t="n">
        <v>43000</v>
      </c>
      <c r="D5" s="6" t="n">
        <v>44300</v>
      </c>
    </row>
    <row r="6">
      <c r="A6" t="inlineStr">
        <is>
          <t>Revenue growth</t>
        </is>
      </c>
      <c r="B6" s="6" t="n">
        <v>-0.005</v>
      </c>
      <c r="C6" s="6" t="n">
        <v>0.014</v>
      </c>
      <c r="D6" s="6" t="n">
        <v>0.03</v>
      </c>
    </row>
    <row r="7">
      <c r="A7" s="8" t="inlineStr">
        <is>
          <t>EBITDA margin</t>
        </is>
      </c>
      <c r="B7" s="25" t="n">
        <v>0.305</v>
      </c>
      <c r="C7" s="25" t="n">
        <v>0.32</v>
      </c>
      <c r="D7" s="25" t="n">
        <v>0.335</v>
      </c>
    </row>
    <row r="8">
      <c r="A8" s="8" t="inlineStr">
        <is>
          <t>EBITDA (€m)</t>
        </is>
      </c>
      <c r="B8" s="26">
        <f>B5*B7</f>
        <v/>
      </c>
      <c r="C8" s="26">
        <f>C5*C7</f>
        <v/>
      </c>
      <c r="D8" s="26">
        <f>D5*D7</f>
        <v/>
      </c>
    </row>
    <row r="9">
      <c r="A9" t="inlineStr">
        <is>
          <t>Capex / sales</t>
        </is>
      </c>
      <c r="B9" s="14" t="n">
        <v>0.135</v>
      </c>
      <c r="C9" s="14" t="n">
        <v>0.125</v>
      </c>
      <c r="D9" s="14" t="n">
        <v>0.115</v>
      </c>
    </row>
    <row r="10">
      <c r="A10" t="inlineStr">
        <is>
          <t>Capex (€m)</t>
        </is>
      </c>
      <c r="B10" s="7">
        <f>B5*B9</f>
        <v/>
      </c>
      <c r="C10" s="7">
        <f>C5*C9</f>
        <v/>
      </c>
      <c r="D10" s="7">
        <f>D5*D9</f>
        <v/>
      </c>
    </row>
    <row r="11">
      <c r="A11" t="inlineStr">
        <is>
          <t>D&amp;A / sales</t>
        </is>
      </c>
      <c r="B11" s="14" t="n">
        <v>0.225</v>
      </c>
      <c r="C11" s="14" t="n">
        <v>0.215</v>
      </c>
      <c r="D11" s="14" t="n">
        <v>0.205</v>
      </c>
    </row>
    <row r="12">
      <c r="A12" s="8" t="inlineStr">
        <is>
          <t>FCF (€m)</t>
        </is>
      </c>
      <c r="B12" s="26">
        <f>B8-B10-(B5*B7-B5*B11)*0.22-B5*0.005</f>
        <v/>
      </c>
      <c r="C12" s="26">
        <f>C8-C10-(C5*C7-C5*C11)*0.22-C5*0.005</f>
        <v/>
      </c>
      <c r="D12" s="26">
        <f>D8-D10-(D5*D7-D5*D11)*0.22-D5*0.005</f>
        <v/>
      </c>
    </row>
    <row r="13">
      <c r="A13" t="inlineStr">
        <is>
          <t>Net debt (€m)</t>
        </is>
      </c>
      <c r="B13" s="6" t="n">
        <v>29500</v>
      </c>
      <c r="C13" s="6" t="n">
        <v>18500</v>
      </c>
      <c r="D13" s="6" t="n">
        <v>9500</v>
      </c>
    </row>
    <row r="14">
      <c r="A14" s="8" t="inlineStr">
        <is>
          <t>Net debt / EBITDA</t>
        </is>
      </c>
      <c r="B14" s="27">
        <f>B13/B8</f>
        <v/>
      </c>
      <c r="C14" s="27">
        <f>C13/C8</f>
        <v/>
      </c>
      <c r="D14" s="27">
        <f>D13/D8</f>
        <v/>
      </c>
    </row>
    <row r="15">
      <c r="A15" t="inlineStr">
        <is>
          <t>EPS (€)</t>
        </is>
      </c>
      <c r="B15" s="15" t="n">
        <v>0.18</v>
      </c>
      <c r="C15" s="15" t="n">
        <v>0.28</v>
      </c>
      <c r="D15" s="15" t="n">
        <v>0.42</v>
      </c>
    </row>
    <row r="16">
      <c r="A16" s="8" t="inlineStr">
        <is>
          <t>Implied PT (€)</t>
        </is>
      </c>
      <c r="B16" s="28" t="n">
        <v>3.5</v>
      </c>
      <c r="C16" s="28" t="n">
        <v>5.05</v>
      </c>
      <c r="D16" s="28" t="n">
        <v>6.5</v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3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TEF — DCF Inputs (feeds into Task 3 valuation)</t>
        </is>
      </c>
    </row>
    <row r="3">
      <c r="A3" s="3" t="inlineStr">
        <is>
          <t>Market data inputs</t>
        </is>
      </c>
      <c r="B3" s="4" t="n"/>
      <c r="C3" s="4" t="n"/>
      <c r="D3" s="4" t="n"/>
      <c r="E3" s="4" t="n"/>
      <c r="F3" s="4" t="n"/>
      <c r="G3" s="4" t="n"/>
      <c r="H3" s="4" t="n"/>
    </row>
    <row r="4">
      <c r="A4" t="inlineStr">
        <is>
          <t>Share price (€)</t>
        </is>
      </c>
      <c r="B4" s="15" t="n">
        <v>3.5</v>
      </c>
    </row>
    <row r="5">
      <c r="A5" t="inlineStr">
        <is>
          <t>Diluted shares (m)</t>
        </is>
      </c>
      <c r="B5" s="15" t="n">
        <v>5710</v>
      </c>
    </row>
    <row r="6">
      <c r="A6" t="inlineStr">
        <is>
          <t>Net debt (€B)</t>
        </is>
      </c>
      <c r="B6" s="15" t="n">
        <v>30.9</v>
      </c>
    </row>
    <row r="7">
      <c r="A7" t="inlineStr">
        <is>
          <t>Perpetual hybrids (€B)</t>
        </is>
      </c>
      <c r="B7" s="15" t="n">
        <v>4.6</v>
      </c>
    </row>
    <row r="8">
      <c r="A8" t="inlineStr">
        <is>
          <t>Minority interest (€B)</t>
        </is>
      </c>
      <c r="B8" s="15" t="n">
        <v>5</v>
      </c>
    </row>
    <row r="9">
      <c r="A9" t="inlineStr">
        <is>
          <t>Pension underfunding (€B)</t>
        </is>
      </c>
      <c r="B9" s="15" t="n">
        <v>1</v>
      </c>
    </row>
    <row r="10">
      <c r="A10" t="inlineStr">
        <is>
          <t>Beta (5y)</t>
        </is>
      </c>
      <c r="B10" s="15" t="n">
        <v>0.85</v>
      </c>
    </row>
    <row r="11">
      <c r="A11" t="inlineStr">
        <is>
          <t>Risk-free (10y BTP, %)</t>
        </is>
      </c>
      <c r="B11" s="29" t="n">
        <v>0.035</v>
      </c>
    </row>
    <row r="12">
      <c r="A12" t="inlineStr">
        <is>
          <t>Equity risk premium (%)</t>
        </is>
      </c>
      <c r="B12" s="29" t="n">
        <v>0.055</v>
      </c>
    </row>
    <row r="13">
      <c r="A13" t="inlineStr">
        <is>
          <t>Pre-tax cost of debt (%)</t>
        </is>
      </c>
      <c r="B13" s="29" t="n">
        <v>0.052</v>
      </c>
    </row>
    <row r="14">
      <c r="A14" t="inlineStr">
        <is>
          <t>Tax rate (%)</t>
        </is>
      </c>
      <c r="B14" s="29" t="n">
        <v>0.22</v>
      </c>
    </row>
    <row r="15">
      <c r="A15" t="inlineStr">
        <is>
          <t>Debt / capital target (%)</t>
        </is>
      </c>
      <c r="B15" s="29" t="n">
        <v>0.5</v>
      </c>
    </row>
    <row r="18">
      <c r="A18" s="3" t="inlineStr">
        <is>
          <t>WACC build (formulas)</t>
        </is>
      </c>
      <c r="B18" s="4" t="n"/>
      <c r="C18" s="4" t="n"/>
      <c r="D18" s="4" t="n"/>
      <c r="E18" s="4" t="n"/>
      <c r="F18" s="4" t="n"/>
      <c r="G18" s="4" t="n"/>
      <c r="H18" s="4" t="n"/>
    </row>
    <row r="19">
      <c r="A19" t="inlineStr">
        <is>
          <t>Cost of equity (CAPM)</t>
        </is>
      </c>
      <c r="B19" s="30">
        <f>B11+B10*B12</f>
        <v/>
      </c>
    </row>
    <row r="20">
      <c r="A20" t="inlineStr">
        <is>
          <t>After-tax cost of debt</t>
        </is>
      </c>
      <c r="B20" s="30">
        <f>B13*(1-B14)</f>
        <v/>
      </c>
    </row>
    <row r="21">
      <c r="A21" s="8" t="inlineStr">
        <is>
          <t>WACC (E/D weighted)</t>
        </is>
      </c>
      <c r="B21" s="31">
        <f>(1-B15)*B19+B15*B20</f>
        <v/>
      </c>
    </row>
    <row r="23">
      <c r="A23" s="3" t="inlineStr">
        <is>
          <t>Terminal value drivers</t>
        </is>
      </c>
      <c r="B23" s="4" t="n"/>
      <c r="C23" s="4" t="n"/>
      <c r="D23" s="4" t="n"/>
      <c r="E23" s="4" t="n"/>
      <c r="F23" s="4" t="n"/>
      <c r="G23" s="4" t="n"/>
      <c r="H23" s="4" t="n"/>
    </row>
    <row r="24">
      <c r="A24" t="inlineStr">
        <is>
          <t>Terminal growth (g)</t>
        </is>
      </c>
      <c r="B24" s="29" t="n">
        <v>0.015</v>
      </c>
    </row>
    <row r="25">
      <c r="A25" t="inlineStr">
        <is>
          <t>Override WACC (if blank, use computed)</t>
        </is>
      </c>
      <c r="B25" s="29" t="n">
        <v>0.08500000000000001</v>
      </c>
    </row>
    <row r="27">
      <c r="A27" s="3" t="inlineStr">
        <is>
          <t>Unlevered FCF (link from Cash_Flow tab, FY25E–FY30E)</t>
        </is>
      </c>
      <c r="B27" s="4" t="n"/>
      <c r="C27" s="4" t="n"/>
      <c r="D27" s="4" t="n"/>
      <c r="E27" s="4" t="n"/>
      <c r="F27" s="4" t="n"/>
      <c r="G27" s="4" t="n"/>
      <c r="H27" s="4" t="n"/>
    </row>
    <row r="28">
      <c r="B28" s="8" t="inlineStr">
        <is>
          <t>FY25E</t>
        </is>
      </c>
      <c r="C28" s="8" t="inlineStr">
        <is>
          <t>FY26E</t>
        </is>
      </c>
      <c r="D28" s="8" t="inlineStr">
        <is>
          <t>FY27E</t>
        </is>
      </c>
      <c r="E28" s="8" t="inlineStr">
        <is>
          <t>FY28E</t>
        </is>
      </c>
      <c r="F28" s="8" t="inlineStr">
        <is>
          <t>FY29E</t>
        </is>
      </c>
      <c r="G28" s="8" t="inlineStr">
        <is>
          <t>FY30E (terminal year)</t>
        </is>
      </c>
    </row>
    <row r="29">
      <c r="B29" s="7">
        <f>Cash_Flow!G11</f>
        <v/>
      </c>
      <c r="C29" s="7">
        <f>Cash_Flow!H11</f>
        <v/>
      </c>
      <c r="D29" s="7">
        <f>Cash_Flow!I11</f>
        <v/>
      </c>
      <c r="E29" s="7">
        <f>Cash_Flow!J11</f>
        <v/>
      </c>
      <c r="F29" s="7">
        <f>Cash_Flow!K11</f>
        <v/>
      </c>
      <c r="G29" s="7">
        <f>Cash_Flow!K11*(1+B24)</f>
        <v/>
      </c>
    </row>
    <row r="32">
      <c r="A32" s="11" t="inlineStr">
        <is>
          <t>Task 3 valuation will compute PV of FCFs, terminal value, EV → equity bridge using these inputs.</t>
        </is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30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32" t="inlineStr">
        <is>
          <t>TEF — DCF (links to Task 2 model + DCF_Inputs)</t>
        </is>
      </c>
    </row>
    <row r="3">
      <c r="B3" s="2" t="inlineStr">
        <is>
          <t>FY25E</t>
        </is>
      </c>
      <c r="C3" s="2" t="inlineStr">
        <is>
          <t>FY26E</t>
        </is>
      </c>
      <c r="D3" s="2" t="inlineStr">
        <is>
          <t>FY27E</t>
        </is>
      </c>
      <c r="E3" s="2" t="inlineStr">
        <is>
          <t>FY28E</t>
        </is>
      </c>
      <c r="F3" s="2" t="inlineStr">
        <is>
          <t>FY29E</t>
        </is>
      </c>
      <c r="G3" s="2" t="inlineStr">
        <is>
          <t>FY30E</t>
        </is>
      </c>
    </row>
    <row r="5">
      <c r="A5" s="2" t="inlineStr">
        <is>
          <t>Cash flows (€m)</t>
        </is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</row>
    <row r="6">
      <c r="A6" t="inlineStr">
        <is>
          <t>Unlevered FCF (link)</t>
        </is>
      </c>
      <c r="B6" s="22">
        <f>Cash_Flow!G11</f>
        <v/>
      </c>
      <c r="C6" s="22">
        <f>Cash_Flow!H11</f>
        <v/>
      </c>
      <c r="D6" s="22">
        <f>Cash_Flow!I11</f>
        <v/>
      </c>
      <c r="E6" s="22">
        <f>Cash_Flow!J11</f>
        <v/>
      </c>
      <c r="F6" s="22">
        <f>Cash_Flow!K11</f>
        <v/>
      </c>
      <c r="G6" s="22">
        <f>Cash_Flow!K11*(1+DCF_Inputs!B24)</f>
        <v/>
      </c>
      <c r="H6" s="22" t="n"/>
      <c r="I6" s="22" t="n"/>
    </row>
    <row r="7">
      <c r="A7" t="inlineStr">
        <is>
          <t>WACC (override from inputs)</t>
        </is>
      </c>
      <c r="B7" s="33">
        <f>DCF_Inputs!B25</f>
        <v/>
      </c>
      <c r="C7" s="33">
        <f>DCF_Inputs!B25</f>
        <v/>
      </c>
      <c r="D7" s="33">
        <f>DCF_Inputs!B25</f>
        <v/>
      </c>
      <c r="E7" s="33">
        <f>DCF_Inputs!B25</f>
        <v/>
      </c>
      <c r="F7" s="33">
        <f>DCF_Inputs!B25</f>
        <v/>
      </c>
      <c r="G7" s="33">
        <f>DCF_Inputs!B25</f>
        <v/>
      </c>
    </row>
    <row r="8">
      <c r="A8" t="inlineStr">
        <is>
          <t>Period (years from FY24A)</t>
        </is>
      </c>
      <c r="B8" s="15" t="n">
        <v>1</v>
      </c>
      <c r="C8" s="15" t="n">
        <v>2</v>
      </c>
      <c r="D8" s="15" t="n">
        <v>3</v>
      </c>
      <c r="E8" s="15" t="n">
        <v>4</v>
      </c>
      <c r="F8" s="15" t="n">
        <v>5</v>
      </c>
      <c r="G8" s="15" t="n">
        <v>6</v>
      </c>
    </row>
    <row r="9">
      <c r="A9" t="inlineStr">
        <is>
          <t>Discount factor</t>
        </is>
      </c>
      <c r="B9" s="34">
        <f>1/(1+B7)^B8</f>
        <v/>
      </c>
      <c r="C9" s="34">
        <f>1/(1+C7)^C8</f>
        <v/>
      </c>
      <c r="D9" s="34">
        <f>1/(1+D7)^D8</f>
        <v/>
      </c>
      <c r="E9" s="34">
        <f>1/(1+E7)^E8</f>
        <v/>
      </c>
      <c r="F9" s="34">
        <f>1/(1+F7)^F8</f>
        <v/>
      </c>
      <c r="G9" s="34">
        <f>1/(1+G7)^G8</f>
        <v/>
      </c>
    </row>
    <row r="10">
      <c r="A10" s="8" t="inlineStr">
        <is>
          <t>PV of FCF (€m)</t>
        </is>
      </c>
      <c r="B10" s="16">
        <f>B6*B9</f>
        <v/>
      </c>
      <c r="C10" s="16">
        <f>C6*C9</f>
        <v/>
      </c>
      <c r="D10" s="16">
        <f>D6*D9</f>
        <v/>
      </c>
      <c r="E10" s="16">
        <f>E6*E9</f>
        <v/>
      </c>
      <c r="F10" s="16">
        <f>F6*F9</f>
        <v/>
      </c>
      <c r="G10" s="16">
        <f>G6*G9</f>
        <v/>
      </c>
      <c r="H10" s="22" t="n"/>
      <c r="I10" s="22" t="n"/>
    </row>
    <row r="12">
      <c r="A12" s="2" t="inlineStr">
        <is>
          <t>Terminal value</t>
        </is>
      </c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</row>
    <row r="13">
      <c r="A13" t="inlineStr">
        <is>
          <t>Terminal year FCF (FY30)</t>
        </is>
      </c>
      <c r="B13">
        <f>G6</f>
        <v/>
      </c>
    </row>
    <row r="14">
      <c r="A14" t="inlineStr">
        <is>
          <t>Terminal growth (g)</t>
        </is>
      </c>
      <c r="B14" s="33">
        <f>DCF_Inputs!B24</f>
        <v/>
      </c>
    </row>
    <row r="15">
      <c r="A15" t="inlineStr">
        <is>
          <t>WACC</t>
        </is>
      </c>
      <c r="B15" s="33">
        <f>DCF_Inputs!B25</f>
        <v/>
      </c>
    </row>
    <row r="16">
      <c r="A16" s="8" t="inlineStr">
        <is>
          <t>Terminal value (Gordon)</t>
        </is>
      </c>
      <c r="B16" s="16">
        <f>B13*(1+B14)/(B15-B14)</f>
        <v/>
      </c>
      <c r="C16" s="22" t="n"/>
      <c r="D16" s="22" t="n"/>
      <c r="E16" s="22" t="n"/>
      <c r="F16" s="22" t="n"/>
      <c r="G16" s="22" t="n"/>
      <c r="H16" s="22" t="n"/>
      <c r="I16" s="22" t="n"/>
    </row>
    <row r="17">
      <c r="A17" t="inlineStr">
        <is>
          <t>PV of terminal value</t>
        </is>
      </c>
      <c r="B17" s="22">
        <f>B16*G9</f>
        <v/>
      </c>
      <c r="C17" s="22" t="n"/>
      <c r="D17" s="22" t="n"/>
      <c r="E17" s="22" t="n"/>
      <c r="F17" s="22" t="n"/>
      <c r="G17" s="22" t="n"/>
      <c r="H17" s="22" t="n"/>
      <c r="I17" s="22" t="n"/>
    </row>
    <row r="19">
      <c r="A19" s="2" t="inlineStr">
        <is>
          <t>Enterprise value &amp; equity bridge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t="inlineStr">
        <is>
          <t>Sum PV of forecast FCFs</t>
        </is>
      </c>
      <c r="B20" s="22">
        <f>SUM(B10:F10)</f>
        <v/>
      </c>
      <c r="C20" s="22" t="n"/>
      <c r="D20" s="22" t="n"/>
      <c r="E20" s="22" t="n"/>
      <c r="F20" s="22" t="n"/>
      <c r="G20" s="22" t="n"/>
      <c r="H20" s="22" t="n"/>
      <c r="I20" s="22" t="n"/>
    </row>
    <row r="21">
      <c r="A21" t="inlineStr">
        <is>
          <t>PV of terminal value</t>
        </is>
      </c>
      <c r="B21" s="22">
        <f>B17</f>
        <v/>
      </c>
      <c r="C21" s="22" t="n"/>
      <c r="D21" s="22" t="n"/>
      <c r="E21" s="22" t="n"/>
      <c r="F21" s="22" t="n"/>
      <c r="G21" s="22" t="n"/>
      <c r="H21" s="22" t="n"/>
      <c r="I21" s="22" t="n"/>
    </row>
    <row r="22">
      <c r="A22" s="8" t="inlineStr">
        <is>
          <t>Enterprise value (€m)</t>
        </is>
      </c>
      <c r="B22" s="19">
        <f>B20+B21</f>
        <v/>
      </c>
      <c r="C22" s="22" t="n"/>
      <c r="D22" s="22" t="n"/>
      <c r="E22" s="22" t="n"/>
      <c r="F22" s="22" t="n"/>
      <c r="G22" s="22" t="n"/>
      <c r="H22" s="22" t="n"/>
      <c r="I22" s="22" t="n"/>
    </row>
    <row r="24">
      <c r="A24" t="inlineStr">
        <is>
          <t>less: Net debt (€B → €m)</t>
        </is>
      </c>
      <c r="B24" s="22">
        <f>-DCF_Inputs!B6*1000</f>
        <v/>
      </c>
      <c r="C24" s="22" t="n"/>
      <c r="D24" s="22" t="n"/>
      <c r="E24" s="22" t="n"/>
      <c r="F24" s="22" t="n"/>
      <c r="G24" s="22" t="n"/>
      <c r="H24" s="22" t="n"/>
      <c r="I24" s="22" t="n"/>
    </row>
    <row r="25">
      <c r="A25" t="inlineStr">
        <is>
          <t>less: Perpetual hybrids</t>
        </is>
      </c>
      <c r="B25" s="22">
        <f>-DCF_Inputs!B7*1000</f>
        <v/>
      </c>
      <c r="C25" s="22" t="n"/>
      <c r="D25" s="22" t="n"/>
      <c r="E25" s="22" t="n"/>
      <c r="F25" s="22" t="n"/>
      <c r="G25" s="22" t="n"/>
      <c r="H25" s="22" t="n"/>
      <c r="I25" s="22" t="n"/>
    </row>
    <row r="26">
      <c r="A26" t="inlineStr">
        <is>
          <t>less: Minority interest</t>
        </is>
      </c>
      <c r="B26" s="22">
        <f>-DCF_Inputs!B8*1000</f>
        <v/>
      </c>
      <c r="C26" s="22" t="n"/>
      <c r="D26" s="22" t="n"/>
      <c r="E26" s="22" t="n"/>
      <c r="F26" s="22" t="n"/>
      <c r="G26" s="22" t="n"/>
      <c r="H26" s="22" t="n"/>
      <c r="I26" s="22" t="n"/>
    </row>
    <row r="27">
      <c r="A27" t="inlineStr">
        <is>
          <t>less: Pension underfunding</t>
        </is>
      </c>
      <c r="B27" s="22">
        <f>-DCF_Inputs!B9*1000</f>
        <v/>
      </c>
      <c r="C27" s="22" t="n"/>
      <c r="D27" s="22" t="n"/>
      <c r="E27" s="22" t="n"/>
      <c r="F27" s="22" t="n"/>
      <c r="G27" s="22" t="n"/>
      <c r="H27" s="22" t="n"/>
      <c r="I27" s="22" t="n"/>
    </row>
    <row r="28">
      <c r="A28" s="8" t="inlineStr">
        <is>
          <t>Equity value (€m)</t>
        </is>
      </c>
      <c r="B28" s="16">
        <f>SUM(B22:B27)</f>
        <v/>
      </c>
      <c r="C28" s="22" t="n"/>
      <c r="D28" s="22" t="n"/>
      <c r="E28" s="22" t="n"/>
      <c r="F28" s="22" t="n"/>
      <c r="G28" s="22" t="n"/>
      <c r="H28" s="22" t="n"/>
      <c r="I28" s="22" t="n"/>
    </row>
    <row r="29">
      <c r="A29" t="inlineStr">
        <is>
          <t>Diluted shares (m)</t>
        </is>
      </c>
      <c r="B29" s="10">
        <f>DCF_Inputs!B5</f>
        <v/>
      </c>
    </row>
    <row r="30">
      <c r="A30" s="8" t="inlineStr">
        <is>
          <t>Implied share price (€)</t>
        </is>
      </c>
      <c r="B30" s="35">
        <f>B28/B29</f>
        <v/>
      </c>
    </row>
  </sheetData>
  <mergeCells count="1"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32" t="inlineStr">
        <is>
          <t>TEF — DCF Sensitivity: WACC × Terminal Growth (per share, €)</t>
        </is>
      </c>
    </row>
    <row r="3">
      <c r="A3" s="36" t="inlineStr">
        <is>
          <t>WACC ↓ / TV g →</t>
        </is>
      </c>
      <c r="B3" s="31" t="n">
        <v>0.005</v>
      </c>
      <c r="C3" s="31" t="n">
        <v>0.01</v>
      </c>
      <c r="D3" s="31" t="n">
        <v>0.015</v>
      </c>
      <c r="E3" s="31" t="n">
        <v>0.02</v>
      </c>
      <c r="F3" s="31" t="n">
        <v>0.025</v>
      </c>
    </row>
    <row r="4">
      <c r="A4" s="31" t="n">
        <v>0.075</v>
      </c>
      <c r="B4" s="37">
        <f>(((Cash_Flow!G11/(1+0.075)^1)+(Cash_Flow!H11/(1+0.075)^2)+(Cash_Flow!I11/(1+0.075)^3)+(Cash_Flow!J11/(1+0.075)^4)+(Cash_Flow!K11/(1+0.075)^5)+(Cash_Flow!K11*(1+0.005)*(1+0.005)/(0.075-0.005))/((1+0.075)^5))-(DCF_Inputs!B6+DCF_Inputs!B7+DCF_Inputs!B8+DCF_Inputs!B9)*1000)/DCF_Inputs!B5</f>
        <v/>
      </c>
      <c r="C4" s="37">
        <f>(((Cash_Flow!G11/(1+0.075)^1)+(Cash_Flow!H11/(1+0.075)^2)+(Cash_Flow!I11/(1+0.075)^3)+(Cash_Flow!J11/(1+0.075)^4)+(Cash_Flow!K11/(1+0.075)^5)+(Cash_Flow!K11*(1+0.01)*(1+0.01)/(0.075-0.01))/((1+0.075)^5))-(DCF_Inputs!B6+DCF_Inputs!B7+DCF_Inputs!B8+DCF_Inputs!B9)*1000)/DCF_Inputs!B5</f>
        <v/>
      </c>
      <c r="D4" s="37">
        <f>(((Cash_Flow!G11/(1+0.075)^1)+(Cash_Flow!H11/(1+0.075)^2)+(Cash_Flow!I11/(1+0.075)^3)+(Cash_Flow!J11/(1+0.075)^4)+(Cash_Flow!K11/(1+0.075)^5)+(Cash_Flow!K11*(1+0.015)*(1+0.015)/(0.075-0.015))/((1+0.075)^5))-(DCF_Inputs!B6+DCF_Inputs!B7+DCF_Inputs!B8+DCF_Inputs!B9)*1000)/DCF_Inputs!B5</f>
        <v/>
      </c>
      <c r="E4" s="37">
        <f>(((Cash_Flow!G11/(1+0.075)^1)+(Cash_Flow!H11/(1+0.075)^2)+(Cash_Flow!I11/(1+0.075)^3)+(Cash_Flow!J11/(1+0.075)^4)+(Cash_Flow!K11/(1+0.075)^5)+(Cash_Flow!K11*(1+0.02)*(1+0.02)/(0.075-0.02))/((1+0.075)^5))-(DCF_Inputs!B6+DCF_Inputs!B7+DCF_Inputs!B8+DCF_Inputs!B9)*1000)/DCF_Inputs!B5</f>
        <v/>
      </c>
      <c r="F4" s="37">
        <f>(((Cash_Flow!G11/(1+0.075)^1)+(Cash_Flow!H11/(1+0.075)^2)+(Cash_Flow!I11/(1+0.075)^3)+(Cash_Flow!J11/(1+0.075)^4)+(Cash_Flow!K11/(1+0.075)^5)+(Cash_Flow!K11*(1+0.025)*(1+0.025)/(0.075-0.025))/((1+0.075)^5))-(DCF_Inputs!B6+DCF_Inputs!B7+DCF_Inputs!B8+DCF_Inputs!B9)*1000)/DCF_Inputs!B5</f>
        <v/>
      </c>
    </row>
    <row r="5">
      <c r="A5" s="31" t="n">
        <v>0.08</v>
      </c>
      <c r="B5" s="37">
        <f>(((Cash_Flow!G11/(1+0.08)^1)+(Cash_Flow!H11/(1+0.08)^2)+(Cash_Flow!I11/(1+0.08)^3)+(Cash_Flow!J11/(1+0.08)^4)+(Cash_Flow!K11/(1+0.08)^5)+(Cash_Flow!K11*(1+0.005)*(1+0.005)/(0.08-0.005))/((1+0.08)^5))-(DCF_Inputs!B6+DCF_Inputs!B7+DCF_Inputs!B8+DCF_Inputs!B9)*1000)/DCF_Inputs!B5</f>
        <v/>
      </c>
      <c r="C5" s="37">
        <f>(((Cash_Flow!G11/(1+0.08)^1)+(Cash_Flow!H11/(1+0.08)^2)+(Cash_Flow!I11/(1+0.08)^3)+(Cash_Flow!J11/(1+0.08)^4)+(Cash_Flow!K11/(1+0.08)^5)+(Cash_Flow!K11*(1+0.01)*(1+0.01)/(0.08-0.01))/((1+0.08)^5))-(DCF_Inputs!B6+DCF_Inputs!B7+DCF_Inputs!B8+DCF_Inputs!B9)*1000)/DCF_Inputs!B5</f>
        <v/>
      </c>
      <c r="D5" s="37">
        <f>(((Cash_Flow!G11/(1+0.08)^1)+(Cash_Flow!H11/(1+0.08)^2)+(Cash_Flow!I11/(1+0.08)^3)+(Cash_Flow!J11/(1+0.08)^4)+(Cash_Flow!K11/(1+0.08)^5)+(Cash_Flow!K11*(1+0.015)*(1+0.015)/(0.08-0.015))/((1+0.08)^5))-(DCF_Inputs!B6+DCF_Inputs!B7+DCF_Inputs!B8+DCF_Inputs!B9)*1000)/DCF_Inputs!B5</f>
        <v/>
      </c>
      <c r="E5" s="37">
        <f>(((Cash_Flow!G11/(1+0.08)^1)+(Cash_Flow!H11/(1+0.08)^2)+(Cash_Flow!I11/(1+0.08)^3)+(Cash_Flow!J11/(1+0.08)^4)+(Cash_Flow!K11/(1+0.08)^5)+(Cash_Flow!K11*(1+0.02)*(1+0.02)/(0.08-0.02))/((1+0.08)^5))-(DCF_Inputs!B6+DCF_Inputs!B7+DCF_Inputs!B8+DCF_Inputs!B9)*1000)/DCF_Inputs!B5</f>
        <v/>
      </c>
      <c r="F5" s="37">
        <f>(((Cash_Flow!G11/(1+0.08)^1)+(Cash_Flow!H11/(1+0.08)^2)+(Cash_Flow!I11/(1+0.08)^3)+(Cash_Flow!J11/(1+0.08)^4)+(Cash_Flow!K11/(1+0.08)^5)+(Cash_Flow!K11*(1+0.025)*(1+0.025)/(0.08-0.025))/((1+0.08)^5))-(DCF_Inputs!B6+DCF_Inputs!B7+DCF_Inputs!B8+DCF_Inputs!B9)*1000)/DCF_Inputs!B5</f>
        <v/>
      </c>
    </row>
    <row r="6">
      <c r="A6" s="31" t="n">
        <v>0.08500000000000001</v>
      </c>
      <c r="B6" s="37">
        <f>(((Cash_Flow!G11/(1+0.085)^1)+(Cash_Flow!H11/(1+0.085)^2)+(Cash_Flow!I11/(1+0.085)^3)+(Cash_Flow!J11/(1+0.085)^4)+(Cash_Flow!K11/(1+0.085)^5)+(Cash_Flow!K11*(1+0.005)*(1+0.005)/(0.085-0.005))/((1+0.085)^5))-(DCF_Inputs!B6+DCF_Inputs!B7+DCF_Inputs!B8+DCF_Inputs!B9)*1000)/DCF_Inputs!B5</f>
        <v/>
      </c>
      <c r="C6" s="37">
        <f>(((Cash_Flow!G11/(1+0.085)^1)+(Cash_Flow!H11/(1+0.085)^2)+(Cash_Flow!I11/(1+0.085)^3)+(Cash_Flow!J11/(1+0.085)^4)+(Cash_Flow!K11/(1+0.085)^5)+(Cash_Flow!K11*(1+0.01)*(1+0.01)/(0.085-0.01))/((1+0.085)^5))-(DCF_Inputs!B6+DCF_Inputs!B7+DCF_Inputs!B8+DCF_Inputs!B9)*1000)/DCF_Inputs!B5</f>
        <v/>
      </c>
      <c r="D6" s="38">
        <f>(((Cash_Flow!G11/(1+0.085)^1)+(Cash_Flow!H11/(1+0.085)^2)+(Cash_Flow!I11/(1+0.085)^3)+(Cash_Flow!J11/(1+0.085)^4)+(Cash_Flow!K11/(1+0.085)^5)+(Cash_Flow!K11*(1+0.015)*(1+0.015)/(0.085-0.015))/((1+0.085)^5))-(DCF_Inputs!B6+DCF_Inputs!B7+DCF_Inputs!B8+DCF_Inputs!B9)*1000)/DCF_Inputs!B5</f>
        <v/>
      </c>
      <c r="E6" s="37">
        <f>(((Cash_Flow!G11/(1+0.085)^1)+(Cash_Flow!H11/(1+0.085)^2)+(Cash_Flow!I11/(1+0.085)^3)+(Cash_Flow!J11/(1+0.085)^4)+(Cash_Flow!K11/(1+0.085)^5)+(Cash_Flow!K11*(1+0.02)*(1+0.02)/(0.085-0.02))/((1+0.085)^5))-(DCF_Inputs!B6+DCF_Inputs!B7+DCF_Inputs!B8+DCF_Inputs!B9)*1000)/DCF_Inputs!B5</f>
        <v/>
      </c>
      <c r="F6" s="37">
        <f>(((Cash_Flow!G11/(1+0.085)^1)+(Cash_Flow!H11/(1+0.085)^2)+(Cash_Flow!I11/(1+0.085)^3)+(Cash_Flow!J11/(1+0.085)^4)+(Cash_Flow!K11/(1+0.085)^5)+(Cash_Flow!K11*(1+0.025)*(1+0.025)/(0.085-0.025))/((1+0.085)^5))-(DCF_Inputs!B6+DCF_Inputs!B7+DCF_Inputs!B8+DCF_Inputs!B9)*1000)/DCF_Inputs!B5</f>
        <v/>
      </c>
    </row>
    <row r="7">
      <c r="A7" s="31" t="n">
        <v>0.09</v>
      </c>
      <c r="B7" s="37">
        <f>(((Cash_Flow!G11/(1+0.09)^1)+(Cash_Flow!H11/(1+0.09)^2)+(Cash_Flow!I11/(1+0.09)^3)+(Cash_Flow!J11/(1+0.09)^4)+(Cash_Flow!K11/(1+0.09)^5)+(Cash_Flow!K11*(1+0.005)*(1+0.005)/(0.09-0.005))/((1+0.09)^5))-(DCF_Inputs!B6+DCF_Inputs!B7+DCF_Inputs!B8+DCF_Inputs!B9)*1000)/DCF_Inputs!B5</f>
        <v/>
      </c>
      <c r="C7" s="37">
        <f>(((Cash_Flow!G11/(1+0.09)^1)+(Cash_Flow!H11/(1+0.09)^2)+(Cash_Flow!I11/(1+0.09)^3)+(Cash_Flow!J11/(1+0.09)^4)+(Cash_Flow!K11/(1+0.09)^5)+(Cash_Flow!K11*(1+0.01)*(1+0.01)/(0.09-0.01))/((1+0.09)^5))-(DCF_Inputs!B6+DCF_Inputs!B7+DCF_Inputs!B8+DCF_Inputs!B9)*1000)/DCF_Inputs!B5</f>
        <v/>
      </c>
      <c r="D7" s="37">
        <f>(((Cash_Flow!G11/(1+0.09)^1)+(Cash_Flow!H11/(1+0.09)^2)+(Cash_Flow!I11/(1+0.09)^3)+(Cash_Flow!J11/(1+0.09)^4)+(Cash_Flow!K11/(1+0.09)^5)+(Cash_Flow!K11*(1+0.015)*(1+0.015)/(0.09-0.015))/((1+0.09)^5))-(DCF_Inputs!B6+DCF_Inputs!B7+DCF_Inputs!B8+DCF_Inputs!B9)*1000)/DCF_Inputs!B5</f>
        <v/>
      </c>
      <c r="E7" s="37">
        <f>(((Cash_Flow!G11/(1+0.09)^1)+(Cash_Flow!H11/(1+0.09)^2)+(Cash_Flow!I11/(1+0.09)^3)+(Cash_Flow!J11/(1+0.09)^4)+(Cash_Flow!K11/(1+0.09)^5)+(Cash_Flow!K11*(1+0.02)*(1+0.02)/(0.09-0.02))/((1+0.09)^5))-(DCF_Inputs!B6+DCF_Inputs!B7+DCF_Inputs!B8+DCF_Inputs!B9)*1000)/DCF_Inputs!B5</f>
        <v/>
      </c>
      <c r="F7" s="37">
        <f>(((Cash_Flow!G11/(1+0.09)^1)+(Cash_Flow!H11/(1+0.09)^2)+(Cash_Flow!I11/(1+0.09)^3)+(Cash_Flow!J11/(1+0.09)^4)+(Cash_Flow!K11/(1+0.09)^5)+(Cash_Flow!K11*(1+0.025)*(1+0.025)/(0.09-0.025))/((1+0.09)^5))-(DCF_Inputs!B6+DCF_Inputs!B7+DCF_Inputs!B8+DCF_Inputs!B9)*1000)/DCF_Inputs!B5</f>
        <v/>
      </c>
    </row>
    <row r="8">
      <c r="A8" s="31" t="n">
        <v>0.095</v>
      </c>
      <c r="B8" s="37">
        <f>(((Cash_Flow!G11/(1+0.095)^1)+(Cash_Flow!H11/(1+0.095)^2)+(Cash_Flow!I11/(1+0.095)^3)+(Cash_Flow!J11/(1+0.095)^4)+(Cash_Flow!K11/(1+0.095)^5)+(Cash_Flow!K11*(1+0.005)*(1+0.005)/(0.095-0.005))/((1+0.095)^5))-(DCF_Inputs!B6+DCF_Inputs!B7+DCF_Inputs!B8+DCF_Inputs!B9)*1000)/DCF_Inputs!B5</f>
        <v/>
      </c>
      <c r="C8" s="37">
        <f>(((Cash_Flow!G11/(1+0.095)^1)+(Cash_Flow!H11/(1+0.095)^2)+(Cash_Flow!I11/(1+0.095)^3)+(Cash_Flow!J11/(1+0.095)^4)+(Cash_Flow!K11/(1+0.095)^5)+(Cash_Flow!K11*(1+0.01)*(1+0.01)/(0.095-0.01))/((1+0.095)^5))-(DCF_Inputs!B6+DCF_Inputs!B7+DCF_Inputs!B8+DCF_Inputs!B9)*1000)/DCF_Inputs!B5</f>
        <v/>
      </c>
      <c r="D8" s="37">
        <f>(((Cash_Flow!G11/(1+0.095)^1)+(Cash_Flow!H11/(1+0.095)^2)+(Cash_Flow!I11/(1+0.095)^3)+(Cash_Flow!J11/(1+0.095)^4)+(Cash_Flow!K11/(1+0.095)^5)+(Cash_Flow!K11*(1+0.015)*(1+0.015)/(0.095-0.015))/((1+0.095)^5))-(DCF_Inputs!B6+DCF_Inputs!B7+DCF_Inputs!B8+DCF_Inputs!B9)*1000)/DCF_Inputs!B5</f>
        <v/>
      </c>
      <c r="E8" s="37">
        <f>(((Cash_Flow!G11/(1+0.095)^1)+(Cash_Flow!H11/(1+0.095)^2)+(Cash_Flow!I11/(1+0.095)^3)+(Cash_Flow!J11/(1+0.095)^4)+(Cash_Flow!K11/(1+0.095)^5)+(Cash_Flow!K11*(1+0.02)*(1+0.02)/(0.095-0.02))/((1+0.095)^5))-(DCF_Inputs!B6+DCF_Inputs!B7+DCF_Inputs!B8+DCF_Inputs!B9)*1000)/DCF_Inputs!B5</f>
        <v/>
      </c>
      <c r="F8" s="37">
        <f>(((Cash_Flow!G11/(1+0.095)^1)+(Cash_Flow!H11/(1+0.095)^2)+(Cash_Flow!I11/(1+0.095)^3)+(Cash_Flow!J11/(1+0.095)^4)+(Cash_Flow!K11/(1+0.095)^5)+(Cash_Flow!K11*(1+0.025)*(1+0.025)/(0.095-0.025))/((1+0.095)^5))-(DCF_Inputs!B6+DCF_Inputs!B7+DCF_Inputs!B8+DCF_Inputs!B9)*1000)/DCF_Inputs!B5</f>
        <v/>
      </c>
    </row>
    <row r="11">
      <c r="A11" s="11" t="inlineStr">
        <is>
          <t>Centre cell (WACC 8.5%, TV g 1.5%) = base case. Highlighted blue.</t>
        </is>
      </c>
    </row>
  </sheetData>
  <mergeCells count="1">
    <mergeCell ref="A1:G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7"/>
  <sheetViews>
    <sheetView workbookViewId="0">
      <selection activeCell="A1" sqref="A1"/>
    </sheetView>
  </sheetViews>
  <sheetFormatPr baseColWidth="8" defaultRowHeight="15"/>
  <cols>
    <col width="2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1">
      <c r="A1" s="32" t="inlineStr">
        <is>
          <t>TEF — Comparable companies (European telecom incumbents)</t>
        </is>
      </c>
    </row>
    <row r="3">
      <c r="A3" s="8" t="inlineStr">
        <is>
          <t>Company</t>
        </is>
      </c>
      <c r="B3" s="2" t="inlineStr">
        <is>
          <t>Ticker</t>
        </is>
      </c>
      <c r="C3" s="2" t="inlineStr">
        <is>
          <t>FY</t>
        </is>
      </c>
      <c r="D3" s="2" t="inlineStr">
        <is>
          <t>Mkt Cap (B local)</t>
        </is>
      </c>
      <c r="E3" s="2" t="inlineStr">
        <is>
          <t>P/E</t>
        </is>
      </c>
      <c r="F3" s="2" t="inlineStr">
        <is>
          <t>P/B</t>
        </is>
      </c>
      <c r="G3" s="2" t="inlineStr">
        <is>
          <t>EV/EBITDA</t>
        </is>
      </c>
      <c r="H3" s="2" t="inlineStr">
        <is>
          <t>EV/Sales</t>
        </is>
      </c>
      <c r="I3" s="2" t="inlineStr">
        <is>
          <t>FCF Yld</t>
        </is>
      </c>
      <c r="J3" s="2" t="inlineStr">
        <is>
          <t>Div Yld</t>
        </is>
      </c>
      <c r="K3" s="2" t="inlineStr">
        <is>
          <t>ROE</t>
        </is>
      </c>
      <c r="L3" s="2" t="inlineStr">
        <is>
          <t>Net Margin</t>
        </is>
      </c>
      <c r="M3" s="2" t="inlineStr">
        <is>
          <t>ND/EBITDA</t>
        </is>
      </c>
    </row>
    <row r="4">
      <c r="A4" s="8" t="inlineStr">
        <is>
          <t>Telefónica</t>
        </is>
      </c>
      <c r="B4" s="26" t="inlineStr">
        <is>
          <t>TEF.MC</t>
        </is>
      </c>
      <c r="C4" s="39" t="n">
        <v>2024</v>
      </c>
      <c r="D4" s="26" t="n">
        <v>22</v>
      </c>
      <c r="E4" s="13" t="inlineStr">
        <is>
          <t>n/a</t>
        </is>
      </c>
      <c r="F4" s="27" t="n">
        <v>1.14</v>
      </c>
      <c r="G4" s="27" t="n">
        <v>4.19</v>
      </c>
      <c r="H4" s="40" t="n">
        <v>1.35</v>
      </c>
      <c r="I4" s="40" t="n">
        <v>0.236</v>
      </c>
      <c r="J4" s="40" t="n">
        <v>0.08</v>
      </c>
      <c r="K4" s="40" t="n">
        <v>-0.003</v>
      </c>
      <c r="L4" s="26" t="n">
        <v>-0.001</v>
      </c>
      <c r="M4" s="27" t="n">
        <v>2.4</v>
      </c>
    </row>
    <row r="5">
      <c r="A5" s="5" t="inlineStr">
        <is>
          <t>Orange</t>
        </is>
      </c>
      <c r="B5" s="10" t="inlineStr">
        <is>
          <t>ORA.PA</t>
        </is>
      </c>
      <c r="C5" s="41" t="n">
        <v>2024</v>
      </c>
      <c r="D5" s="10" t="n">
        <v>46.9</v>
      </c>
      <c r="E5" s="42" t="n">
        <v>20</v>
      </c>
      <c r="F5" s="42" t="n">
        <v>1.48</v>
      </c>
      <c r="G5" s="42" t="n">
        <v>3.44</v>
      </c>
      <c r="H5" s="43" t="n">
        <v>1.4</v>
      </c>
      <c r="I5" s="43" t="n">
        <v>0.074</v>
      </c>
      <c r="J5" s="43" t="n">
        <v>0.041</v>
      </c>
      <c r="K5" s="43" t="n">
        <v>0.074</v>
      </c>
      <c r="L5" s="10" t="n">
        <v>0.058</v>
      </c>
      <c r="M5" s="42" t="n">
        <v>-0.2</v>
      </c>
    </row>
    <row r="6">
      <c r="A6" s="5" t="inlineStr">
        <is>
          <t>Deutsche Telekom</t>
        </is>
      </c>
      <c r="B6" s="10" t="inlineStr">
        <is>
          <t>DTE.XETRA</t>
        </is>
      </c>
      <c r="C6" s="41" t="n">
        <v>2024</v>
      </c>
      <c r="D6" s="10" t="n">
        <v>140</v>
      </c>
      <c r="E6" s="42" t="n">
        <v>12.5</v>
      </c>
      <c r="F6" s="42" t="n">
        <v>2.16</v>
      </c>
      <c r="G6" s="42" t="n">
        <v>4.51</v>
      </c>
      <c r="H6" s="43" t="n">
        <v>1.8</v>
      </c>
      <c r="I6" s="43" t="n">
        <v>0.148</v>
      </c>
      <c r="J6" s="43" t="n">
        <v>0.04</v>
      </c>
      <c r="K6" s="43" t="n">
        <v>0.177</v>
      </c>
      <c r="L6" s="10" t="n">
        <v>0.097</v>
      </c>
      <c r="M6" s="42" t="n">
        <v>1.9</v>
      </c>
    </row>
    <row r="7">
      <c r="A7" s="5" t="inlineStr">
        <is>
          <t>Vodafone</t>
        </is>
      </c>
      <c r="B7" s="10" t="inlineStr">
        <is>
          <t>VOD.LSE</t>
        </is>
      </c>
      <c r="C7" s="41" t="n">
        <v>2025</v>
      </c>
      <c r="D7" s="10" t="n">
        <v>2793</v>
      </c>
      <c r="E7" s="13" t="inlineStr">
        <is>
          <t>n/a</t>
        </is>
      </c>
      <c r="F7" s="13" t="inlineStr">
        <is>
          <t>n/a</t>
        </is>
      </c>
      <c r="G7" s="13" t="inlineStr">
        <is>
          <t>n/a</t>
        </is>
      </c>
      <c r="H7" s="13" t="inlineStr">
        <is>
          <t>n/a</t>
        </is>
      </c>
      <c r="I7" s="43" t="n">
        <v>0.003</v>
      </c>
      <c r="J7" s="43" t="n">
        <v>0.001</v>
      </c>
      <c r="K7" s="43" t="n">
        <v>-0.079</v>
      </c>
      <c r="L7" s="10" t="n">
        <v>-0.111</v>
      </c>
      <c r="M7" s="42" t="n">
        <v>2.5</v>
      </c>
    </row>
    <row r="8">
      <c r="A8" s="5" t="inlineStr">
        <is>
          <t>BT Group</t>
        </is>
      </c>
      <c r="B8" s="10" t="inlineStr">
        <is>
          <t>BT-A.LSE</t>
        </is>
      </c>
      <c r="C8" s="41" t="n">
        <v>2025</v>
      </c>
      <c r="D8" s="10" t="n">
        <v>2190</v>
      </c>
      <c r="E8" s="13" t="inlineStr">
        <is>
          <t>n/a</t>
        </is>
      </c>
      <c r="F8" s="13" t="inlineStr">
        <is>
          <t>n/a</t>
        </is>
      </c>
      <c r="G8" s="13" t="inlineStr">
        <is>
          <t>n/a</t>
        </is>
      </c>
      <c r="H8" s="13" t="inlineStr">
        <is>
          <t>n/a</t>
        </is>
      </c>
      <c r="I8" s="43" t="n">
        <v>0.001</v>
      </c>
      <c r="J8" s="43" t="n">
        <v>0</v>
      </c>
      <c r="K8" s="43" t="n">
        <v>0.082</v>
      </c>
      <c r="L8" s="10" t="n">
        <v>0.052</v>
      </c>
      <c r="M8" s="42" t="n">
        <v>2.3</v>
      </c>
    </row>
    <row r="9">
      <c r="A9" s="5" t="inlineStr">
        <is>
          <t>Telia</t>
        </is>
      </c>
      <c r="B9" s="10" t="inlineStr">
        <is>
          <t>TELIA1.HE</t>
        </is>
      </c>
      <c r="C9" s="41" t="n">
        <v>2024</v>
      </c>
      <c r="D9" s="10" t="n">
        <v>16.8</v>
      </c>
      <c r="E9" s="42" t="n">
        <v>2.4</v>
      </c>
      <c r="F9" s="42" t="n">
        <v>0.3</v>
      </c>
      <c r="G9" s="42" t="n">
        <v>2.43</v>
      </c>
      <c r="H9" s="43" t="n">
        <v>1</v>
      </c>
      <c r="I9" s="43" t="n">
        <v>0.434</v>
      </c>
      <c r="J9" s="43" t="n">
        <v>0.467</v>
      </c>
      <c r="K9" s="43" t="n">
        <v>0.128</v>
      </c>
      <c r="L9" s="10" t="n">
        <v>0.079</v>
      </c>
      <c r="M9" s="42" t="n">
        <v>1.9</v>
      </c>
    </row>
    <row r="10">
      <c r="A10" s="5" t="inlineStr">
        <is>
          <t>Proximus</t>
        </is>
      </c>
      <c r="B10" s="10" t="inlineStr">
        <is>
          <t>PROX.BR</t>
        </is>
      </c>
      <c r="C10" s="41" t="n">
        <v>2024</v>
      </c>
      <c r="D10" s="10" t="n">
        <v>2.1</v>
      </c>
      <c r="E10" s="42" t="n">
        <v>4.8</v>
      </c>
      <c r="F10" s="42" t="n">
        <v>0.5</v>
      </c>
      <c r="G10" s="42" t="n">
        <v>3.18</v>
      </c>
      <c r="H10" s="43" t="n">
        <v>0.9</v>
      </c>
      <c r="I10" s="43" t="n">
        <v>0.06</v>
      </c>
      <c r="J10" s="43" t="n">
        <v>0.168</v>
      </c>
      <c r="K10" s="43" t="n">
        <v>0.104</v>
      </c>
      <c r="L10" s="10" t="n">
        <v>0.07000000000000001</v>
      </c>
      <c r="M10" s="42" t="n">
        <v>2.1</v>
      </c>
    </row>
    <row r="12">
      <c r="A12" s="2" t="inlineStr">
        <is>
          <t>STATISTICAL BANDS (peers ex-TEF)</t>
        </is>
      </c>
    </row>
    <row r="13">
      <c r="A13" s="44" t="inlineStr">
        <is>
          <t>Min</t>
        </is>
      </c>
      <c r="D13" s="10">
        <f>IFERROR(MIN(D5:D10),"")</f>
        <v/>
      </c>
      <c r="E13" s="42">
        <f>IFERROR(MIN(E5:E10),"")</f>
        <v/>
      </c>
      <c r="F13" s="42">
        <f>IFERROR(MIN(F5:F10),"")</f>
        <v/>
      </c>
      <c r="G13" s="42">
        <f>IFERROR(MIN(G5:G10),"")</f>
        <v/>
      </c>
      <c r="H13" s="43">
        <f>IFERROR(MIN(H5:H10),"")</f>
        <v/>
      </c>
      <c r="I13" s="43">
        <f>IFERROR(MIN(I5:I10),"")</f>
        <v/>
      </c>
      <c r="J13" s="43">
        <f>IFERROR(MIN(J5:J10),"")</f>
        <v/>
      </c>
      <c r="K13" s="43">
        <f>IFERROR(MIN(K5:K10),"")</f>
        <v/>
      </c>
      <c r="L13" s="10">
        <f>IFERROR(MIN(L5:L10),"")</f>
        <v/>
      </c>
      <c r="M13" s="42">
        <f>IFERROR(MIN(M5:M10),"")</f>
        <v/>
      </c>
    </row>
    <row r="14">
      <c r="A14" s="44" t="inlineStr">
        <is>
          <t>25th</t>
        </is>
      </c>
      <c r="D14" s="10">
        <f>IFERROR(QUARTILE(D5:D10,1),"")</f>
        <v/>
      </c>
      <c r="E14" s="42">
        <f>IFERROR(QUARTILE(E5:E10,1),"")</f>
        <v/>
      </c>
      <c r="F14" s="42">
        <f>IFERROR(QUARTILE(F5:F10,1),"")</f>
        <v/>
      </c>
      <c r="G14" s="42">
        <f>IFERROR(QUARTILE(G5:G10,1),"")</f>
        <v/>
      </c>
      <c r="H14" s="43">
        <f>IFERROR(QUARTILE(H5:H10,1),"")</f>
        <v/>
      </c>
      <c r="I14" s="43">
        <f>IFERROR(QUARTILE(I5:I10,1),"")</f>
        <v/>
      </c>
      <c r="J14" s="43">
        <f>IFERROR(QUARTILE(J5:J10,1),"")</f>
        <v/>
      </c>
      <c r="K14" s="43">
        <f>IFERROR(QUARTILE(K5:K10,1),"")</f>
        <v/>
      </c>
      <c r="L14" s="10">
        <f>IFERROR(QUARTILE(L5:L10,1),"")</f>
        <v/>
      </c>
      <c r="M14" s="42">
        <f>IFERROR(QUARTILE(M5:M10,1),"")</f>
        <v/>
      </c>
    </row>
    <row r="15">
      <c r="A15" s="44" t="inlineStr">
        <is>
          <t>Median</t>
        </is>
      </c>
      <c r="D15" s="10">
        <f>IFERROR(MEDIAN(D5:D10),"")</f>
        <v/>
      </c>
      <c r="E15" s="42">
        <f>IFERROR(MEDIAN(E5:E10),"")</f>
        <v/>
      </c>
      <c r="F15" s="42">
        <f>IFERROR(MEDIAN(F5:F10),"")</f>
        <v/>
      </c>
      <c r="G15" s="42">
        <f>IFERROR(MEDIAN(G5:G10),"")</f>
        <v/>
      </c>
      <c r="H15" s="43">
        <f>IFERROR(MEDIAN(H5:H10),"")</f>
        <v/>
      </c>
      <c r="I15" s="43">
        <f>IFERROR(MEDIAN(I5:I10),"")</f>
        <v/>
      </c>
      <c r="J15" s="43">
        <f>IFERROR(MEDIAN(J5:J10),"")</f>
        <v/>
      </c>
      <c r="K15" s="43">
        <f>IFERROR(MEDIAN(K5:K10),"")</f>
        <v/>
      </c>
      <c r="L15" s="10">
        <f>IFERROR(MEDIAN(L5:L10),"")</f>
        <v/>
      </c>
      <c r="M15" s="42">
        <f>IFERROR(MEDIAN(M5:M10),"")</f>
        <v/>
      </c>
    </row>
    <row r="16">
      <c r="A16" s="44" t="inlineStr">
        <is>
          <t>75th</t>
        </is>
      </c>
      <c r="D16" s="10">
        <f>IFERROR(QUARTILE(D5:D10,3),"")</f>
        <v/>
      </c>
      <c r="E16" s="42">
        <f>IFERROR(QUARTILE(E5:E10,3),"")</f>
        <v/>
      </c>
      <c r="F16" s="42">
        <f>IFERROR(QUARTILE(F5:F10,3),"")</f>
        <v/>
      </c>
      <c r="G16" s="42">
        <f>IFERROR(QUARTILE(G5:G10,3),"")</f>
        <v/>
      </c>
      <c r="H16" s="43">
        <f>IFERROR(QUARTILE(H5:H10,3),"")</f>
        <v/>
      </c>
      <c r="I16" s="43">
        <f>IFERROR(QUARTILE(I5:I10,3),"")</f>
        <v/>
      </c>
      <c r="J16" s="43">
        <f>IFERROR(QUARTILE(J5:J10,3),"")</f>
        <v/>
      </c>
      <c r="K16" s="43">
        <f>IFERROR(QUARTILE(K5:K10,3),"")</f>
        <v/>
      </c>
      <c r="L16" s="10">
        <f>IFERROR(QUARTILE(L5:L10,3),"")</f>
        <v/>
      </c>
      <c r="M16" s="42">
        <f>IFERROR(QUARTILE(M5:M10,3),"")</f>
        <v/>
      </c>
    </row>
    <row r="17">
      <c r="A17" s="44" t="inlineStr">
        <is>
          <t>Max</t>
        </is>
      </c>
      <c r="D17" s="10">
        <f>IFERROR(MAX(D5:D10),"")</f>
        <v/>
      </c>
      <c r="E17" s="42">
        <f>IFERROR(MAX(E5:E10),"")</f>
        <v/>
      </c>
      <c r="F17" s="42">
        <f>IFERROR(MAX(F5:F10),"")</f>
        <v/>
      </c>
      <c r="G17" s="42">
        <f>IFERROR(MAX(G5:G10),"")</f>
        <v/>
      </c>
      <c r="H17" s="43">
        <f>IFERROR(MAX(H5:H10),"")</f>
        <v/>
      </c>
      <c r="I17" s="43">
        <f>IFERROR(MAX(I5:I10),"")</f>
        <v/>
      </c>
      <c r="J17" s="43">
        <f>IFERROR(MAX(J5:J10),"")</f>
        <v/>
      </c>
      <c r="K17" s="43">
        <f>IFERROR(MAX(K5:K10),"")</f>
        <v/>
      </c>
      <c r="L17" s="10">
        <f>IFERROR(MAX(L5:L10),"")</f>
        <v/>
      </c>
      <c r="M17" s="42">
        <f>IFERROR(MAX(M5:M10),"")</f>
        <v/>
      </c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2026-05-06T07:00:28Z</dcterms:created>
  <dcterms:modified xmlns:dcterms="http://purl.org/dc/terms/" xmlns:xsi="http://www.w3.org/2001/XMLSchema-instance" xsi:type="dcterms:W3CDTF">2026-05-06T07:04:32Z</dcterms:modified>
</cp:coreProperties>
</file>